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ndujar\Documents\"/>
    </mc:Choice>
  </mc:AlternateContent>
  <bookViews>
    <workbookView xWindow="0" yWindow="0" windowWidth="20490" windowHeight="7365"/>
  </bookViews>
  <sheets>
    <sheet name="desclose para pag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K24" i="1"/>
  <c r="F24" i="1"/>
  <c r="O23" i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J21" i="1"/>
  <c r="O21" i="1" s="1"/>
  <c r="O20" i="1"/>
  <c r="N19" i="1"/>
  <c r="M19" i="1"/>
  <c r="M24" i="1" s="1"/>
  <c r="L19" i="1"/>
  <c r="K19" i="1"/>
  <c r="J19" i="1"/>
  <c r="I19" i="1"/>
  <c r="H19" i="1"/>
  <c r="H24" i="1" s="1"/>
  <c r="G19" i="1"/>
  <c r="F19" i="1"/>
  <c r="E19" i="1"/>
  <c r="D19" i="1"/>
  <c r="D24" i="1" s="1"/>
  <c r="C19" i="1"/>
  <c r="O19" i="1" s="1"/>
  <c r="L18" i="1"/>
  <c r="L24" i="1" s="1"/>
  <c r="J18" i="1"/>
  <c r="O18" i="1" s="1"/>
  <c r="G18" i="1"/>
  <c r="J17" i="1"/>
  <c r="I17" i="1"/>
  <c r="I24" i="1" s="1"/>
  <c r="H17" i="1"/>
  <c r="G17" i="1"/>
  <c r="G24" i="1" s="1"/>
  <c r="F17" i="1"/>
  <c r="E17" i="1"/>
  <c r="E24" i="1" s="1"/>
  <c r="D17" i="1"/>
  <c r="C17" i="1"/>
  <c r="O17" i="1" s="1"/>
  <c r="O16" i="1"/>
  <c r="O24" i="1" s="1"/>
  <c r="K14" i="1"/>
  <c r="C14" i="1"/>
  <c r="N13" i="1"/>
  <c r="N14" i="1" s="1"/>
  <c r="M13" i="1"/>
  <c r="M14" i="1" s="1"/>
  <c r="L13" i="1"/>
  <c r="L14" i="1" s="1"/>
  <c r="K13" i="1"/>
  <c r="I13" i="1"/>
  <c r="I14" i="1" s="1"/>
  <c r="H13" i="1"/>
  <c r="H14" i="1" s="1"/>
  <c r="D13" i="1"/>
  <c r="D14" i="1" s="1"/>
  <c r="C13" i="1"/>
  <c r="O12" i="1"/>
  <c r="J11" i="1"/>
  <c r="J13" i="1" s="1"/>
  <c r="J14" i="1" s="1"/>
  <c r="H11" i="1"/>
  <c r="G11" i="1"/>
  <c r="G13" i="1" s="1"/>
  <c r="G14" i="1" s="1"/>
  <c r="F11" i="1"/>
  <c r="F13" i="1" s="1"/>
  <c r="F14" i="1" s="1"/>
  <c r="E11" i="1"/>
  <c r="E13" i="1" s="1"/>
  <c r="E14" i="1" s="1"/>
  <c r="D11" i="1"/>
  <c r="O10" i="1"/>
  <c r="O8" i="1"/>
  <c r="J24" i="1" l="1"/>
  <c r="O11" i="1"/>
  <c r="O13" i="1" s="1"/>
  <c r="O14" i="1" s="1"/>
  <c r="C24" i="1"/>
</calcChain>
</file>

<file path=xl/sharedStrings.xml><?xml version="1.0" encoding="utf-8"?>
<sst xmlns="http://schemas.openxmlformats.org/spreadsheetml/2006/main" count="37" uniqueCount="36">
  <si>
    <t xml:space="preserve">MINISTERIO DE OBRAS PUBLICAS Y COMUNICACIONES </t>
  </si>
  <si>
    <t xml:space="preserve">DEPARTAMENTO DE CONTABILIDAD GENERAL </t>
  </si>
  <si>
    <t>REPORTE DE INGRESOS Y GASTOS</t>
  </si>
  <si>
    <t xml:space="preserve"> ENERO A DICIEMBRE 2017</t>
  </si>
  <si>
    <t xml:space="preserve"> (VALORES EN RD$)</t>
  </si>
  <si>
    <t xml:space="preserve">                           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</si>
  <si>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</si>
  <si>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</si>
  <si>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</si>
  <si>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</si>
  <si>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</si>
  <si>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</si>
  <si>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</si>
  <si>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</si>
  <si>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</si>
  <si>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</si>
  <si>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</si>
  <si>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</si>
  <si>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</si>
  <si>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Aportes Fiscales Corrientes</t>
  </si>
  <si>
    <t>Ingresos presupuestarios</t>
  </si>
  <si>
    <t>Entradas Propias Corrientes</t>
  </si>
  <si>
    <t>Licencias de Conducir y Revistas</t>
  </si>
  <si>
    <t>Ingresos Cuenta Colectora( manuales, , reglamentos, licitacione y licencias de Construccion)</t>
  </si>
  <si>
    <t>Captacion Directa (Gastos de inspeccion obras en ejecucion, supervision programa de infraestructura escolar, servicios de alquiler del Club Deportivo y Cultural del MOPC, otros.)</t>
  </si>
  <si>
    <t xml:space="preserve">Sub- Total </t>
  </si>
  <si>
    <t>TOTALES</t>
  </si>
  <si>
    <t xml:space="preserve">                         EGRESOS</t>
  </si>
  <si>
    <t>Remuneraciones y Contribuciones</t>
  </si>
  <si>
    <t xml:space="preserve">Contratacion de Servicios </t>
  </si>
  <si>
    <t>Materiales y Suministro</t>
  </si>
  <si>
    <t>Transferencias  Corrientes</t>
  </si>
  <si>
    <t>Transferencias  de Capital</t>
  </si>
  <si>
    <t>Bienes Muebles e Intangibles</t>
  </si>
  <si>
    <t xml:space="preserve">Obras </t>
  </si>
  <si>
    <t>Disminucion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</si>
</sst>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9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Times New Roman"/>
      <family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43" fontId="4" fillId="0" borderId="0" xfId="1" applyFont="1"/>
    <xf numFmtId="0" fontId="5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/>
    <xf numFmtId="4" fontId="4" fillId="0" borderId="0" xfId="0" applyNumberFormat="1" applyFont="1"/>
    <xf numFmtId="43" fontId="8" fillId="0" borderId="0" xfId="1" applyFont="1" applyFill="1" applyBorder="1"/>
    <xf numFmtId="4" fontId="6" fillId="0" borderId="0" xfId="0" applyNumberFormat="1" applyFont="1"/>
    <xf numFmtId="43" fontId="3" fillId="0" borderId="0" xfId="1" applyFont="1" applyBorder="1"/>
    <xf numFmtId="4" fontId="4" fillId="0" borderId="0" xfId="1" applyNumberFormat="1" applyFont="1" applyBorder="1"/>
    <xf numFmtId="4" fontId="4" fillId="0" borderId="0" xfId="1" applyNumberFormat="1" applyFont="1"/>
    <xf numFmtId="0" fontId="9" fillId="0" borderId="0" xfId="0" applyFont="1" applyBorder="1" applyAlignment="1">
      <alignment wrapText="1"/>
    </xf>
    <xf numFmtId="43" fontId="9" fillId="2" borderId="0" xfId="1" applyFont="1" applyFill="1" applyBorder="1" applyAlignment="1">
      <alignment horizontal="right"/>
    </xf>
    <xf numFmtId="4" fontId="10" fillId="2" borderId="0" xfId="1" applyNumberFormat="1" applyFont="1" applyFill="1" applyBorder="1" applyAlignment="1">
      <alignment horizontal="right"/>
    </xf>
    <xf numFmtId="43" fontId="9" fillId="0" borderId="0" xfId="1" applyFont="1" applyBorder="1" applyAlignment="1">
      <alignment horizontal="right"/>
    </xf>
    <xf numFmtId="43" fontId="9" fillId="0" borderId="0" xfId="1" applyFont="1" applyBorder="1"/>
    <xf numFmtId="43" fontId="2" fillId="0" borderId="1" xfId="1" applyFont="1" applyBorder="1"/>
    <xf numFmtId="4" fontId="11" fillId="0" borderId="1" xfId="1" applyNumberFormat="1" applyFont="1" applyBorder="1"/>
    <xf numFmtId="43" fontId="2" fillId="0" borderId="2" xfId="1" applyFont="1" applyBorder="1"/>
    <xf numFmtId="4" fontId="11" fillId="0" borderId="2" xfId="1" applyNumberFormat="1" applyFont="1" applyBorder="1"/>
    <xf numFmtId="4" fontId="5" fillId="0" borderId="0" xfId="0" applyNumberFormat="1" applyFont="1"/>
    <xf numFmtId="43" fontId="4" fillId="0" borderId="0" xfId="1" applyFont="1" applyFill="1"/>
    <xf numFmtId="43" fontId="4" fillId="0" borderId="0" xfId="1" applyFont="1" applyBorder="1"/>
    <xf numFmtId="43" fontId="4" fillId="0" borderId="3" xfId="1" applyFont="1" applyBorder="1"/>
    <xf numFmtId="4" fontId="4" fillId="2" borderId="0" xfId="0" applyNumberFormat="1" applyFont="1" applyFill="1"/>
    <xf numFmtId="4" fontId="6" fillId="0" borderId="3" xfId="0" applyNumberFormat="1" applyFont="1" applyBorder="1"/>
    <xf numFmtId="0" fontId="12" fillId="0" borderId="0" xfId="0" applyFont="1" applyBorder="1" applyAlignment="1">
      <alignment wrapText="1"/>
    </xf>
    <xf numFmtId="43" fontId="12" fillId="0" borderId="0" xfId="1" applyFont="1" applyBorder="1"/>
    <xf numFmtId="4" fontId="13" fillId="0" borderId="4" xfId="0" applyNumberFormat="1" applyFont="1" applyBorder="1"/>
    <xf numFmtId="4" fontId="6" fillId="0" borderId="4" xfId="0" applyNumberFormat="1" applyFont="1" applyBorder="1"/>
    <xf numFmtId="0" fontId="5" fillId="0" borderId="0" xfId="0" applyFont="1" applyBorder="1"/>
    <xf numFmtId="43" fontId="5" fillId="0" borderId="0" xfId="0" applyNumberFormat="1" applyFont="1" applyBorder="1"/>
    <xf numFmtId="43" fontId="5" fillId="0" borderId="0" xfId="0" applyNumberFormat="1" applyFont="1"/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3" fontId="2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A5" sqref="A5:B5"/>
    </sheetView>
  </sheetViews>
  <sheetFormatPr baseColWidth="10" defaultRowHeight="18.75" x14ac:dyDescent="0.3"/>
  <cols>
    <col min="1" max="1" width="60.85546875" style="3" customWidth="1"/>
    <col min="2" max="2" width="20" style="3" customWidth="1"/>
    <col min="3" max="3" width="17.7109375" style="1" customWidth="1"/>
    <col min="4" max="4" width="17.7109375" style="2" customWidth="1"/>
    <col min="5" max="11" width="17.7109375" style="3" customWidth="1"/>
    <col min="12" max="12" width="17.5703125" style="3" customWidth="1"/>
    <col min="13" max="14" width="17.7109375" style="3" customWidth="1"/>
    <col min="15" max="15" width="19.7109375" style="3" customWidth="1"/>
    <col min="16" max="16" width="23" style="3" bestFit="1" customWidth="1"/>
    <col min="17" max="16384" width="11.42578125" style="3"/>
  </cols>
  <sheetData>
    <row r="1" spans="1:16" ht="20.100000000000001" customHeight="1" x14ac:dyDescent="0.3">
      <c r="A1" s="39" t="s">
        <v>0</v>
      </c>
      <c r="B1" s="40"/>
    </row>
    <row r="2" spans="1:16" ht="20.100000000000001" customHeight="1" x14ac:dyDescent="0.3">
      <c r="A2" s="39" t="s">
        <v>1</v>
      </c>
      <c r="B2" s="39"/>
    </row>
    <row r="3" spans="1:16" ht="20.100000000000001" customHeight="1" x14ac:dyDescent="0.3">
      <c r="A3" s="39" t="s">
        <v>2</v>
      </c>
      <c r="B3" s="39"/>
    </row>
    <row r="4" spans="1:16" ht="20.100000000000001" customHeight="1" x14ac:dyDescent="0.3">
      <c r="A4" s="39" t="s">
        <v>3</v>
      </c>
      <c r="B4" s="39"/>
    </row>
    <row r="5" spans="1:16" ht="20.100000000000001" customHeight="1" x14ac:dyDescent="0.3">
      <c r="A5" s="41" t="s">
        <v>4</v>
      </c>
      <c r="B5" s="42"/>
    </row>
    <row r="6" spans="1:16" ht="20.100000000000001" customHeight="1" x14ac:dyDescent="0.3">
      <c r="A6" s="37" t="s">
        <v>5</v>
      </c>
      <c r="B6" s="37"/>
      <c r="C6" s="4" t="s">
        <v>6</v>
      </c>
      <c r="D6" s="5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17</v>
      </c>
      <c r="O6" s="6" t="s">
        <v>18</v>
      </c>
    </row>
    <row r="7" spans="1:16" ht="20.100000000000001" customHeight="1" x14ac:dyDescent="0.3">
      <c r="A7" s="7" t="s">
        <v>19</v>
      </c>
      <c r="B7" s="8"/>
      <c r="C7" s="9"/>
      <c r="E7" s="9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20.100000000000001" customHeight="1" x14ac:dyDescent="0.3">
      <c r="A8" s="7" t="s">
        <v>20</v>
      </c>
      <c r="B8" s="10"/>
      <c r="C8" s="9">
        <v>1391377072.28</v>
      </c>
      <c r="D8" s="2">
        <v>8858412902.4400005</v>
      </c>
      <c r="E8" s="9">
        <v>3384704063.75</v>
      </c>
      <c r="F8" s="9">
        <v>1308076421.5799999</v>
      </c>
      <c r="G8" s="9">
        <v>1803845454.1900001</v>
      </c>
      <c r="H8" s="9">
        <v>2028595254.79</v>
      </c>
      <c r="I8" s="9">
        <v>760848050.47000003</v>
      </c>
      <c r="J8" s="9">
        <v>2749302559.3299999</v>
      </c>
      <c r="K8" s="9">
        <v>2010094584.1700001</v>
      </c>
      <c r="L8" s="9">
        <v>1746102432.72</v>
      </c>
      <c r="M8" s="9">
        <v>3624069098.21</v>
      </c>
      <c r="N8" s="9">
        <v>3373337787.3299999</v>
      </c>
      <c r="O8" s="11">
        <f>SUM(C8+D8+E8+F8+G8+H8+I8+J8+K8+L8+M8+N8)</f>
        <v>33038765681.260002</v>
      </c>
    </row>
    <row r="9" spans="1:16" ht="20.100000000000001" customHeight="1" x14ac:dyDescent="0.3">
      <c r="A9" s="7" t="s">
        <v>21</v>
      </c>
      <c r="B9" s="12"/>
      <c r="C9" s="13"/>
      <c r="D9" s="14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ht="20.25" customHeight="1" x14ac:dyDescent="0.3">
      <c r="A10" s="15" t="s">
        <v>22</v>
      </c>
      <c r="B10" s="16"/>
      <c r="C10" s="17">
        <v>41568855</v>
      </c>
      <c r="D10" s="14">
        <v>34560250</v>
      </c>
      <c r="E10" s="9">
        <v>43742990</v>
      </c>
      <c r="F10" s="9">
        <v>37654695</v>
      </c>
      <c r="G10" s="9">
        <v>43031445</v>
      </c>
      <c r="H10" s="9">
        <v>40974490</v>
      </c>
      <c r="I10" s="9">
        <v>45910120</v>
      </c>
      <c r="J10" s="9">
        <v>45416010</v>
      </c>
      <c r="K10" s="9"/>
      <c r="L10" s="9"/>
      <c r="M10" s="9"/>
      <c r="N10" s="9"/>
      <c r="O10" s="11">
        <f>SUM(C10+D10+E10+F10+G10+H10+I10+J10+K10+L10+M10+N10)</f>
        <v>332858855</v>
      </c>
    </row>
    <row r="11" spans="1:16" ht="36" customHeight="1" x14ac:dyDescent="0.3">
      <c r="A11" s="15" t="s">
        <v>23</v>
      </c>
      <c r="B11" s="18"/>
      <c r="C11" s="9">
        <v>320400</v>
      </c>
      <c r="D11" s="14">
        <f>422500+15390</f>
        <v>437890</v>
      </c>
      <c r="E11" s="9">
        <f>415900+9730</f>
        <v>425630</v>
      </c>
      <c r="F11" s="9">
        <f>321500+6400</f>
        <v>327900</v>
      </c>
      <c r="G11" s="9">
        <f>502200+16350</f>
        <v>518550</v>
      </c>
      <c r="H11" s="9">
        <f>394950+8750</f>
        <v>403700</v>
      </c>
      <c r="I11" s="9">
        <v>290950</v>
      </c>
      <c r="J11" s="9">
        <f>996500+4650+1000</f>
        <v>1002150</v>
      </c>
      <c r="K11" s="9">
        <v>698000</v>
      </c>
      <c r="L11" s="9">
        <v>546400</v>
      </c>
      <c r="M11" s="9">
        <v>829250</v>
      </c>
      <c r="N11" s="9">
        <v>828650</v>
      </c>
      <c r="O11" s="11">
        <f>SUM(C11+D11+E11+F11+G11+H11+I11+J11+K11+L11+M11+N11)</f>
        <v>6629470</v>
      </c>
    </row>
    <row r="12" spans="1:16" ht="58.5" customHeight="1" x14ac:dyDescent="0.3">
      <c r="A12" s="15" t="s">
        <v>24</v>
      </c>
      <c r="B12" s="19"/>
      <c r="C12" s="9">
        <v>26612260.699999999</v>
      </c>
      <c r="D12" s="2">
        <v>117364466.23</v>
      </c>
      <c r="E12" s="9">
        <v>37885108.649999999</v>
      </c>
      <c r="F12" s="9">
        <v>69795363.299999997</v>
      </c>
      <c r="G12" s="9">
        <v>74763110.769999996</v>
      </c>
      <c r="H12" s="9">
        <v>23247767.34</v>
      </c>
      <c r="I12" s="9">
        <v>71912490.560000002</v>
      </c>
      <c r="J12" s="9">
        <v>159621160.68000001</v>
      </c>
      <c r="K12" s="9">
        <v>83232197.989999995</v>
      </c>
      <c r="L12" s="9">
        <v>141018036.19999999</v>
      </c>
      <c r="M12" s="9">
        <v>109847978.2</v>
      </c>
      <c r="N12" s="9">
        <v>197700060.30000001</v>
      </c>
      <c r="O12" s="11">
        <f>SUM(C12+D12+E12+F12+G12+H12+I12+J12+K12+L12+M12+N12)</f>
        <v>1113000000.9200001</v>
      </c>
    </row>
    <row r="13" spans="1:16" ht="20.100000000000001" customHeight="1" x14ac:dyDescent="0.3">
      <c r="A13" s="7" t="s">
        <v>25</v>
      </c>
      <c r="B13" s="20"/>
      <c r="C13" s="21">
        <f>SUM(C10:C12)</f>
        <v>68501515.700000003</v>
      </c>
      <c r="D13" s="21">
        <f t="shared" ref="D13:O13" si="0">SUM(D10:D12)</f>
        <v>152362606.23000002</v>
      </c>
      <c r="E13" s="21">
        <f t="shared" si="0"/>
        <v>82053728.650000006</v>
      </c>
      <c r="F13" s="21">
        <f t="shared" si="0"/>
        <v>107777958.3</v>
      </c>
      <c r="G13" s="21">
        <f t="shared" si="0"/>
        <v>118313105.77</v>
      </c>
      <c r="H13" s="21">
        <f t="shared" si="0"/>
        <v>64625957.340000004</v>
      </c>
      <c r="I13" s="21">
        <f t="shared" si="0"/>
        <v>118113560.56</v>
      </c>
      <c r="J13" s="21">
        <f t="shared" si="0"/>
        <v>206039320.68000001</v>
      </c>
      <c r="K13" s="21">
        <f t="shared" si="0"/>
        <v>83930197.989999995</v>
      </c>
      <c r="L13" s="21">
        <f t="shared" si="0"/>
        <v>141564436.19999999</v>
      </c>
      <c r="M13" s="21">
        <f t="shared" si="0"/>
        <v>110677228.2</v>
      </c>
      <c r="N13" s="21">
        <f t="shared" si="0"/>
        <v>198528710.30000001</v>
      </c>
      <c r="O13" s="21">
        <f t="shared" si="0"/>
        <v>1452488325.9200001</v>
      </c>
    </row>
    <row r="14" spans="1:16" ht="20.100000000000001" customHeight="1" thickBot="1" x14ac:dyDescent="0.35">
      <c r="A14" s="7" t="s">
        <v>26</v>
      </c>
      <c r="B14" s="22"/>
      <c r="C14" s="23">
        <f>+C8+C13</f>
        <v>1459878587.98</v>
      </c>
      <c r="D14" s="23">
        <f t="shared" ref="D14:O14" si="1">+D8+D13</f>
        <v>9010775508.6700001</v>
      </c>
      <c r="E14" s="23">
        <f t="shared" si="1"/>
        <v>3466757792.4000001</v>
      </c>
      <c r="F14" s="23">
        <f t="shared" si="1"/>
        <v>1415854379.8799999</v>
      </c>
      <c r="G14" s="23">
        <f t="shared" si="1"/>
        <v>1922158559.96</v>
      </c>
      <c r="H14" s="23">
        <f t="shared" si="1"/>
        <v>2093221212.1299999</v>
      </c>
      <c r="I14" s="23">
        <f t="shared" si="1"/>
        <v>878961611.02999997</v>
      </c>
      <c r="J14" s="23">
        <f t="shared" si="1"/>
        <v>2955341880.0099998</v>
      </c>
      <c r="K14" s="23">
        <f t="shared" si="1"/>
        <v>2094024782.1600001</v>
      </c>
      <c r="L14" s="23">
        <f t="shared" si="1"/>
        <v>1887666868.9200001</v>
      </c>
      <c r="M14" s="23">
        <f t="shared" si="1"/>
        <v>3734746326.4099998</v>
      </c>
      <c r="N14" s="23">
        <f t="shared" si="1"/>
        <v>3571866497.6300001</v>
      </c>
      <c r="O14" s="23">
        <f t="shared" si="1"/>
        <v>34491254007.18</v>
      </c>
      <c r="P14" s="24"/>
    </row>
    <row r="15" spans="1:16" ht="20.100000000000001" customHeight="1" thickTop="1" x14ac:dyDescent="0.3">
      <c r="A15" s="37" t="s">
        <v>27</v>
      </c>
      <c r="B15" s="38"/>
      <c r="D15" s="25"/>
    </row>
    <row r="16" spans="1:16" ht="20.100000000000001" customHeight="1" x14ac:dyDescent="0.3">
      <c r="A16" s="15" t="s">
        <v>28</v>
      </c>
      <c r="B16" s="12"/>
      <c r="C16" s="26">
        <v>237269905.50999999</v>
      </c>
      <c r="D16" s="2">
        <v>199095812.63</v>
      </c>
      <c r="E16" s="9">
        <v>315687528.17000002</v>
      </c>
      <c r="F16" s="9">
        <v>223948508.43000001</v>
      </c>
      <c r="G16" s="9">
        <v>260750944.06</v>
      </c>
      <c r="H16" s="9">
        <v>270171053.64999998</v>
      </c>
      <c r="I16" s="9">
        <v>138238307.49000001</v>
      </c>
      <c r="J16" s="9">
        <v>347797742.77999997</v>
      </c>
      <c r="K16" s="9">
        <v>269808467.10000002</v>
      </c>
      <c r="L16" s="9">
        <v>289864941.69999999</v>
      </c>
      <c r="M16" s="9">
        <v>474942587.73000002</v>
      </c>
      <c r="N16" s="9">
        <v>324418372.69999999</v>
      </c>
      <c r="O16" s="11">
        <f>SUM(C16+D16+E16+F16+G16+H16+I16+J16+K16+L16+M16+N16)</f>
        <v>3351994171.9499993</v>
      </c>
    </row>
    <row r="17" spans="1:15" ht="20.100000000000001" customHeight="1" x14ac:dyDescent="0.3">
      <c r="A17" s="15" t="s">
        <v>29</v>
      </c>
      <c r="B17" s="12"/>
      <c r="C17" s="26">
        <f>54136820.1+41568855</f>
        <v>95705675.099999994</v>
      </c>
      <c r="D17" s="2">
        <f>32336028.7+34560250</f>
        <v>66896278.700000003</v>
      </c>
      <c r="E17" s="9">
        <f>109310551.73+43742990</f>
        <v>153053541.73000002</v>
      </c>
      <c r="F17" s="9">
        <f>85060725.84+37654695</f>
        <v>122715420.84</v>
      </c>
      <c r="G17" s="9">
        <f>63591001.18+43031445</f>
        <v>106622446.18000001</v>
      </c>
      <c r="H17" s="9">
        <f>121804193.54+40974490</f>
        <v>162778683.54000002</v>
      </c>
      <c r="I17" s="9">
        <f>71705485.63+45910120</f>
        <v>117615605.63</v>
      </c>
      <c r="J17" s="9">
        <f>119831337.32+45416010</f>
        <v>165247347.31999999</v>
      </c>
      <c r="K17" s="9">
        <v>62539598.030000001</v>
      </c>
      <c r="L17" s="9">
        <v>43911291.969999999</v>
      </c>
      <c r="M17" s="9">
        <v>79103993.239999995</v>
      </c>
      <c r="N17" s="9">
        <v>135706287.68000001</v>
      </c>
      <c r="O17" s="11">
        <f t="shared" ref="O17:O23" si="2">SUM(C17+D17+E17+F17+G17+H17+I17+J17+K17+L17+M17+N17)</f>
        <v>1311896169.96</v>
      </c>
    </row>
    <row r="18" spans="1:15" ht="20.100000000000001" customHeight="1" x14ac:dyDescent="0.3">
      <c r="A18" s="15" t="s">
        <v>30</v>
      </c>
      <c r="B18" s="12"/>
      <c r="C18" s="26">
        <v>15637672.84</v>
      </c>
      <c r="D18" s="2">
        <v>14999985.800000001</v>
      </c>
      <c r="E18" s="9">
        <v>15494606.310000001</v>
      </c>
      <c r="F18" s="9">
        <v>29076975</v>
      </c>
      <c r="G18" s="9">
        <f>38346223.77+13000000</f>
        <v>51346223.770000003</v>
      </c>
      <c r="H18" s="9">
        <v>127672516.38</v>
      </c>
      <c r="I18" s="9">
        <v>28252346.440000001</v>
      </c>
      <c r="J18" s="9">
        <f>76673255.78+15000000</f>
        <v>91673255.780000001</v>
      </c>
      <c r="K18" s="9">
        <v>81944703.590000004</v>
      </c>
      <c r="L18" s="9">
        <f>32061392.25+15000000</f>
        <v>47061392.25</v>
      </c>
      <c r="M18" s="9">
        <v>60493616.579999998</v>
      </c>
      <c r="N18" s="9">
        <v>33406877.210000001</v>
      </c>
      <c r="O18" s="11">
        <f t="shared" si="2"/>
        <v>597060171.95000017</v>
      </c>
    </row>
    <row r="19" spans="1:15" ht="20.100000000000001" customHeight="1" x14ac:dyDescent="0.3">
      <c r="A19" s="15" t="s">
        <v>31</v>
      </c>
      <c r="B19" s="12"/>
      <c r="C19" s="26">
        <f>34535468.54+320400</f>
        <v>34855868.539999999</v>
      </c>
      <c r="D19" s="2">
        <f>34775619.04+437890</f>
        <v>35213509.039999999</v>
      </c>
      <c r="E19" s="9">
        <f>37639057.54+425630</f>
        <v>38064687.539999999</v>
      </c>
      <c r="F19" s="9">
        <f>34551047.31+327900</f>
        <v>34878947.310000002</v>
      </c>
      <c r="G19" s="9">
        <f>34528794.37+518550</f>
        <v>35047344.369999997</v>
      </c>
      <c r="H19" s="9">
        <f>52496125.21+403700</f>
        <v>52899825.210000001</v>
      </c>
      <c r="I19" s="9">
        <f>41803784.73+290950</f>
        <v>42094734.729999997</v>
      </c>
      <c r="J19" s="9">
        <f>68234269.38+1002150</f>
        <v>69236419.379999995</v>
      </c>
      <c r="K19" s="9">
        <f>63416885.38+698000</f>
        <v>64114885.380000003</v>
      </c>
      <c r="L19" s="9">
        <f>63331471.45+546400</f>
        <v>63877871.450000003</v>
      </c>
      <c r="M19" s="9">
        <f>129168237.53+829250</f>
        <v>129997487.53</v>
      </c>
      <c r="N19" s="9">
        <f>78124620.76+828650</f>
        <v>78953270.760000005</v>
      </c>
      <c r="O19" s="11">
        <f t="shared" si="2"/>
        <v>679234851.24000001</v>
      </c>
    </row>
    <row r="20" spans="1:15" ht="20.100000000000001" customHeight="1" x14ac:dyDescent="0.3">
      <c r="A20" s="15" t="s">
        <v>32</v>
      </c>
      <c r="B20" s="12"/>
      <c r="C20" s="26">
        <v>0</v>
      </c>
      <c r="D20" s="2">
        <v>0</v>
      </c>
      <c r="E20" s="9">
        <v>260000000</v>
      </c>
      <c r="F20" s="9">
        <v>100000000</v>
      </c>
      <c r="G20" s="9">
        <v>0</v>
      </c>
      <c r="H20" s="9">
        <v>113000000</v>
      </c>
      <c r="I20" s="9">
        <v>0</v>
      </c>
      <c r="J20" s="9">
        <v>90553998</v>
      </c>
      <c r="K20" s="9">
        <v>449076999</v>
      </c>
      <c r="L20" s="9">
        <v>212000000</v>
      </c>
      <c r="M20" s="9">
        <v>65000000</v>
      </c>
      <c r="N20" s="9">
        <v>187669000</v>
      </c>
      <c r="O20" s="11">
        <f t="shared" si="2"/>
        <v>1477299997</v>
      </c>
    </row>
    <row r="21" spans="1:15" ht="20.100000000000001" customHeight="1" x14ac:dyDescent="0.3">
      <c r="A21" s="15" t="s">
        <v>33</v>
      </c>
      <c r="B21" s="12"/>
      <c r="C21" s="26">
        <v>26002320</v>
      </c>
      <c r="D21" s="25">
        <v>0</v>
      </c>
      <c r="E21" s="24"/>
      <c r="F21" s="9">
        <v>3000000</v>
      </c>
      <c r="G21" s="9">
        <v>0</v>
      </c>
      <c r="H21" s="9">
        <v>257898619.69999999</v>
      </c>
      <c r="I21" s="9">
        <v>34839100.420000002</v>
      </c>
      <c r="J21" s="9">
        <f>178068954.43+15000000</f>
        <v>193068954.43000001</v>
      </c>
      <c r="K21" s="9">
        <v>159283054.16</v>
      </c>
      <c r="L21" s="9">
        <v>22222072.010000002</v>
      </c>
      <c r="M21" s="9">
        <v>102529759.56</v>
      </c>
      <c r="N21" s="9">
        <v>118289476.40000001</v>
      </c>
      <c r="O21" s="11">
        <f t="shared" si="2"/>
        <v>917133356.67999995</v>
      </c>
    </row>
    <row r="22" spans="1:15" ht="20.100000000000001" customHeight="1" x14ac:dyDescent="0.3">
      <c r="A22" s="15" t="s">
        <v>34</v>
      </c>
      <c r="B22" s="12"/>
      <c r="C22" s="26">
        <f>1023794885.29+26612260.7</f>
        <v>1050407145.99</v>
      </c>
      <c r="D22" s="25">
        <f>4698870062.04+117364466.23</f>
        <v>4816234528.2699995</v>
      </c>
      <c r="E22" s="9">
        <f>2646572320+37885108.65</f>
        <v>2684457428.6500001</v>
      </c>
      <c r="F22" s="9">
        <f>832439165+69795363.3</f>
        <v>902234528.29999995</v>
      </c>
      <c r="G22" s="9">
        <f>1282628490.81+61763110.77</f>
        <v>1344391601.5799999</v>
      </c>
      <c r="H22" s="9">
        <f>1074808687.13+23247767.34</f>
        <v>1098056454.47</v>
      </c>
      <c r="I22" s="9">
        <f>435803583.65+71912490.56</f>
        <v>507716074.20999998</v>
      </c>
      <c r="J22" s="9">
        <f>1868143001.64+129621160.68</f>
        <v>1997764162.3200002</v>
      </c>
      <c r="K22" s="9">
        <f>924024876.91+83232197.99</f>
        <v>1007257074.9</v>
      </c>
      <c r="L22" s="9">
        <f>1082711263.34+126018036.2</f>
        <v>1208729299.54</v>
      </c>
      <c r="M22" s="9">
        <f>2702508247.86+109847978.2</f>
        <v>2812356226.0599999</v>
      </c>
      <c r="N22" s="9">
        <f>2492590497.38+197700060.3</f>
        <v>2690290557.6800003</v>
      </c>
      <c r="O22" s="11">
        <f t="shared" si="2"/>
        <v>22119895081.969997</v>
      </c>
    </row>
    <row r="23" spans="1:15" ht="20.100000000000001" customHeight="1" x14ac:dyDescent="0.3">
      <c r="A23" s="15" t="s">
        <v>35</v>
      </c>
      <c r="B23" s="12"/>
      <c r="C23" s="27">
        <v>0</v>
      </c>
      <c r="D23" s="25">
        <v>3878335394.23</v>
      </c>
      <c r="E23" s="28">
        <v>0</v>
      </c>
      <c r="F23" s="9">
        <v>0</v>
      </c>
      <c r="G23" s="9">
        <v>124000000</v>
      </c>
      <c r="H23" s="9">
        <v>10744059.18</v>
      </c>
      <c r="I23" s="9">
        <v>10205442.109999999</v>
      </c>
      <c r="J23" s="9">
        <v>0</v>
      </c>
      <c r="K23" s="9">
        <v>0</v>
      </c>
      <c r="L23" s="9">
        <v>0</v>
      </c>
      <c r="M23" s="9">
        <v>10322655.710000001</v>
      </c>
      <c r="N23" s="9">
        <v>3132655.2</v>
      </c>
      <c r="O23" s="29">
        <f t="shared" si="2"/>
        <v>4036740206.4299998</v>
      </c>
    </row>
    <row r="24" spans="1:15" ht="20.100000000000001" customHeight="1" thickBot="1" x14ac:dyDescent="0.35">
      <c r="A24" s="30" t="s">
        <v>26</v>
      </c>
      <c r="B24" s="31"/>
      <c r="C24" s="32">
        <f t="shared" ref="C24:N24" si="3">SUM(C16:C23)</f>
        <v>1459878587.98</v>
      </c>
      <c r="D24" s="32">
        <f t="shared" si="3"/>
        <v>9010775508.6700001</v>
      </c>
      <c r="E24" s="32">
        <f t="shared" si="3"/>
        <v>3466757792.4000001</v>
      </c>
      <c r="F24" s="32">
        <f t="shared" si="3"/>
        <v>1415854379.8799999</v>
      </c>
      <c r="G24" s="32">
        <f t="shared" si="3"/>
        <v>1922158559.96</v>
      </c>
      <c r="H24" s="32">
        <f t="shared" si="3"/>
        <v>2093221212.1300001</v>
      </c>
      <c r="I24" s="32">
        <f t="shared" si="3"/>
        <v>878961611.03000009</v>
      </c>
      <c r="J24" s="32">
        <f t="shared" si="3"/>
        <v>2955341880.0100002</v>
      </c>
      <c r="K24" s="32">
        <f t="shared" si="3"/>
        <v>2094024782.1599998</v>
      </c>
      <c r="L24" s="32">
        <f t="shared" si="3"/>
        <v>1887666868.9199998</v>
      </c>
      <c r="M24" s="32">
        <f t="shared" si="3"/>
        <v>3734746326.4099998</v>
      </c>
      <c r="N24" s="32">
        <f t="shared" si="3"/>
        <v>3571866497.6300001</v>
      </c>
      <c r="O24" s="33">
        <f>SUM(O16:O23)</f>
        <v>34491254007.179993</v>
      </c>
    </row>
    <row r="25" spans="1:15" ht="20.100000000000001" customHeight="1" thickTop="1" x14ac:dyDescent="0.3">
      <c r="A25" s="34"/>
      <c r="B25" s="34"/>
      <c r="C25" s="9"/>
    </row>
    <row r="26" spans="1:15" ht="20.100000000000001" customHeight="1" x14ac:dyDescent="0.3">
      <c r="A26" s="34"/>
      <c r="B26" s="3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3">
      <c r="B27" s="36"/>
      <c r="C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5" x14ac:dyDescent="0.3">
      <c r="C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5" x14ac:dyDescent="0.3">
      <c r="C29" s="9"/>
      <c r="D29" s="14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5" x14ac:dyDescent="0.3">
      <c r="C30" s="9"/>
      <c r="D30" s="14"/>
      <c r="E30" s="9"/>
      <c r="F30" s="9"/>
      <c r="G30" s="9"/>
      <c r="H30" s="9"/>
      <c r="I30" s="9"/>
      <c r="J30" s="9"/>
      <c r="K30" s="9"/>
      <c r="L30" s="9"/>
      <c r="M30" s="9"/>
      <c r="N30" s="9"/>
    </row>
    <row r="33" spans="2:4" x14ac:dyDescent="0.3">
      <c r="D33" s="1"/>
    </row>
    <row r="34" spans="2:4" x14ac:dyDescent="0.3">
      <c r="D34" s="1"/>
    </row>
    <row r="35" spans="2:4" x14ac:dyDescent="0.3">
      <c r="B35" s="24"/>
      <c r="D35" s="1"/>
    </row>
  </sheetData>
  <mergeCells count="7">
    <mergeCell ref="A15:B15"/>
    <mergeCell ref="A1:B1"/>
    <mergeCell ref="A2:B2"/>
    <mergeCell ref="A3:B3"/>
    <mergeCell ref="A4:B4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desclose para pag 2017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Andujar</dc:creator>
  <cp:lastModifiedBy>Luis Andujar</cp:lastModifiedBy>
  <dcterms:created xsi:type="dcterms:W3CDTF">2018-01-08T13:59:48Z</dcterms:created>
  <dcterms:modified xsi:type="dcterms:W3CDTF">2018-01-08T14:01:40Z</dcterms:modified>
</cp:coreProperties>
</file>