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760" tabRatio="601" firstSheet="5" activeTab="5"/>
  </bookViews>
  <sheets>
    <sheet name="imbornal" sheetId="1" r:id="rId1"/>
    <sheet name="Materiales" sheetId="2" r:id="rId2"/>
    <sheet name="Mano de Obra" sheetId="3" r:id="rId3"/>
    <sheet name="Rel. Equipos" sheetId="4" r:id="rId4"/>
    <sheet name="Rel. Equipos (2)" sheetId="5" r:id="rId5"/>
    <sheet name="Rel. Partida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" localSheetId="5">#REF!</definedName>
    <definedName name="_o">#REF!</definedName>
    <definedName name="_OP1PI">'[14]MOJornal'!$D$48</definedName>
    <definedName name="_OP2PI">'[14]MOJornal'!$D$58</definedName>
    <definedName name="_OP3AL">'[14]MOJornal'!$D$61</definedName>
    <definedName name="_Order1" hidden="1">255</definedName>
    <definedName name="_Order2" hidden="1">255</definedName>
    <definedName name="_pu1" localSheetId="5">#REF!</definedName>
    <definedName name="_pu1">#REF!</definedName>
    <definedName name="_PU3" localSheetId="5">#REF!</definedName>
    <definedName name="_PU3">#REF!</definedName>
    <definedName name="_PU6" localSheetId="5">#REF!</definedName>
    <definedName name="_PU6">#REF!</definedName>
    <definedName name="_Sort" localSheetId="5" hidden="1">#REF!</definedName>
    <definedName name="_Sort" hidden="1">#REF!</definedName>
    <definedName name="_SUB1" localSheetId="5">#REF!</definedName>
    <definedName name="_SUB1">#REF!</definedName>
    <definedName name="_TUB24">#N/A</definedName>
    <definedName name="a">'[1]Trabajos Generales'!$F$4</definedName>
    <definedName name="acarreo" localSheetId="5">'[2]Listado Equipos a utilizar'!#REF!</definedName>
    <definedName name="acarreo">'[2]Listado Equipos a utilizar'!#REF!</definedName>
    <definedName name="aceras">'[3]ANALISIS'!$H$725</definedName>
    <definedName name="acero">#N/A</definedName>
    <definedName name="acero1" localSheetId="5">#REF!</definedName>
    <definedName name="acero1">#REF!</definedName>
    <definedName name="acerog40">'[4]MATERIALES'!$G$7</definedName>
    <definedName name="aceroi" localSheetId="5">#REF!</definedName>
    <definedName name="aceroi">#REF!</definedName>
    <definedName name="aceroii" localSheetId="5">#REF!</definedName>
    <definedName name="aceroii">#REF!</definedName>
    <definedName name="aceromalla" localSheetId="5">#REF!</definedName>
    <definedName name="aceromalla">#REF!</definedName>
    <definedName name="ADHERENCIA">#N/A</definedName>
    <definedName name="adm">'[5]Resumen Precio Equipos'!$C$28</definedName>
    <definedName name="ADMINISTRATIVOS" localSheetId="5">#REF!</definedName>
    <definedName name="ADMINISTRATIVOS">#REF!</definedName>
    <definedName name="Agregado" localSheetId="5">#REF!</definedName>
    <definedName name="Agregado">#REF!</definedName>
    <definedName name="agricola" localSheetId="5">'[2]Listado Equipos a utilizar'!#REF!</definedName>
    <definedName name="agricola">'[2]Listado Equipos a utilizar'!#REF!</definedName>
    <definedName name="Agua" localSheetId="5">#REF!</definedName>
    <definedName name="Agua">#REF!</definedName>
    <definedName name="aguarras" localSheetId="5">#REF!</definedName>
    <definedName name="aguarras">#REF!</definedName>
    <definedName name="alambi" localSheetId="5">#REF!</definedName>
    <definedName name="alambi">#REF!</definedName>
    <definedName name="alambii" localSheetId="5">#REF!</definedName>
    <definedName name="alambii">#REF!</definedName>
    <definedName name="alambiii" localSheetId="5">#REF!</definedName>
    <definedName name="alambiii">#REF!</definedName>
    <definedName name="alambiiii" localSheetId="5">#REF!</definedName>
    <definedName name="alambiiii">#REF!</definedName>
    <definedName name="Alambre" localSheetId="5">#REF!</definedName>
    <definedName name="Alambre">#REF!</definedName>
    <definedName name="Alambre_No.18" localSheetId="5">#REF!</definedName>
    <definedName name="Alambre_No.18">#REF!</definedName>
    <definedName name="alambre18">'[4]MATERIALES'!$G$10</definedName>
    <definedName name="analisis" localSheetId="5">#REF!,#REF!,#REF!</definedName>
    <definedName name="analisis">#REF!,#REF!,#REF!</definedName>
    <definedName name="analisis2" localSheetId="5">#REF!</definedName>
    <definedName name="analisis2">#REF!</definedName>
    <definedName name="analisisI" localSheetId="5">#REF!</definedName>
    <definedName name="analisisI">#REF!</definedName>
    <definedName name="Anclaje_de_Pilotes" localSheetId="5">#REF!</definedName>
    <definedName name="Anclaje_de_Pilotes">#REF!</definedName>
    <definedName name="_xlnm.Print_Area" localSheetId="2">'Mano de Obra'!$A$3:$H$61</definedName>
    <definedName name="_xlnm.Print_Area" localSheetId="1">'Materiales'!$A$1:$F$183</definedName>
    <definedName name="_xlnm.Print_Area" localSheetId="3">'Rel. Equipos'!$A$1:$I$91</definedName>
    <definedName name="_xlnm.Print_Area" localSheetId="4">'Rel. Equipos (2)'!$A$1:$D$18</definedName>
    <definedName name="_xlnm.Print_Area" localSheetId="5">'Rel. Partidas'!$B$1:$H$154</definedName>
    <definedName name="arenabca" localSheetId="5">#REF!</definedName>
    <definedName name="arenabca">#REF!</definedName>
    <definedName name="arenafina">'[4]MATERIALES'!$G$11</definedName>
    <definedName name="arenaitabo">'[4]MATERIALES'!$G$12</definedName>
    <definedName name="arenalavada">'[4]MATERIALES'!$G$13</definedName>
    <definedName name="arenapta" localSheetId="5">#REF!</definedName>
    <definedName name="arenapta">#REF!</definedName>
    <definedName name="ari" localSheetId="5">#REF!</definedName>
    <definedName name="ari">#REF!</definedName>
    <definedName name="arii" localSheetId="5">#REF!</definedName>
    <definedName name="arii">#REF!</definedName>
    <definedName name="ariii" localSheetId="5">#REF!</definedName>
    <definedName name="ariii">#REF!</definedName>
    <definedName name="ariiii" localSheetId="5">#REF!</definedName>
    <definedName name="ariiii">#REF!</definedName>
    <definedName name="arranque" localSheetId="5">'[2]Listado Equipos a utilizar'!#REF!</definedName>
    <definedName name="arranque">'[2]Listado Equipos a utilizar'!#REF!</definedName>
    <definedName name="asfali" localSheetId="5">#REF!</definedName>
    <definedName name="asfali">#REF!</definedName>
    <definedName name="asfalii" localSheetId="5">#REF!</definedName>
    <definedName name="asfalii">#REF!</definedName>
    <definedName name="asfaliii" localSheetId="5">#REF!</definedName>
    <definedName name="asfaliii">#REF!</definedName>
    <definedName name="asfaliiii" localSheetId="5">#REF!</definedName>
    <definedName name="asfaliiii">#REF!</definedName>
    <definedName name="asientoi" localSheetId="5">#REF!</definedName>
    <definedName name="asientoi">#REF!</definedName>
    <definedName name="asientoii" localSheetId="5">#REF!</definedName>
    <definedName name="asientoii">#REF!</definedName>
    <definedName name="asientoiii" localSheetId="5">#REF!</definedName>
    <definedName name="asientoiii">#REF!</definedName>
    <definedName name="asientoiiii" localSheetId="5">#REF!</definedName>
    <definedName name="asientoiiii">#REF!</definedName>
    <definedName name="ayoperador" localSheetId="5">#REF!</definedName>
    <definedName name="ayoperador">#REF!</definedName>
    <definedName name="AYPI">'[14]MOJornal'!$D$27</definedName>
    <definedName name="Ayudante">'[6]MO'!$C$22</definedName>
    <definedName name="ayudcadenero">'[4]OBRAMANO'!$F$67</definedName>
    <definedName name="b">'[1]Trabajos Generales'!$C$8</definedName>
    <definedName name="banci" localSheetId="5">#REF!</definedName>
    <definedName name="banci">#REF!</definedName>
    <definedName name="bancii" localSheetId="5">#REF!</definedName>
    <definedName name="bancii">#REF!</definedName>
    <definedName name="banciii" localSheetId="5">#REF!</definedName>
    <definedName name="banciii">#REF!</definedName>
    <definedName name="banciiii" localSheetId="5">#REF!</definedName>
    <definedName name="banciiii">#REF!</definedName>
    <definedName name="banli" localSheetId="5">#REF!</definedName>
    <definedName name="banli">#REF!</definedName>
    <definedName name="banlii" localSheetId="5">#REF!</definedName>
    <definedName name="banlii">#REF!</definedName>
    <definedName name="banliii" localSheetId="5">#REF!</definedName>
    <definedName name="banliii">#REF!</definedName>
    <definedName name="banliiii" localSheetId="5">#REF!</definedName>
    <definedName name="banliiii">#REF!</definedName>
    <definedName name="BARANDILLA" localSheetId="5">#REF!</definedName>
    <definedName name="BARANDILLA">#REF!</definedName>
    <definedName name="BASE">#N/A</definedName>
    <definedName name="baseia" localSheetId="5">#REF!</definedName>
    <definedName name="baseia">#REF!</definedName>
    <definedName name="baseib" localSheetId="5">#REF!</definedName>
    <definedName name="baseib">#REF!</definedName>
    <definedName name="baseic" localSheetId="5">#REF!</definedName>
    <definedName name="baseic">#REF!</definedName>
    <definedName name="baseiia" localSheetId="5">#REF!</definedName>
    <definedName name="baseiia">#REF!</definedName>
    <definedName name="baseiib" localSheetId="5">#REF!</definedName>
    <definedName name="baseiib">#REF!</definedName>
    <definedName name="baseiic" localSheetId="5">#REF!</definedName>
    <definedName name="baseiic">#REF!</definedName>
    <definedName name="baseiiia" localSheetId="5">#REF!</definedName>
    <definedName name="baseiiia">#REF!</definedName>
    <definedName name="baseiiib" localSheetId="5">#REF!</definedName>
    <definedName name="baseiiib">#REF!</definedName>
    <definedName name="baseiiic" localSheetId="5">#REF!</definedName>
    <definedName name="baseiiic">#REF!</definedName>
    <definedName name="baseiiiia" localSheetId="5">#REF!</definedName>
    <definedName name="baseiiiia">#REF!</definedName>
    <definedName name="baseiiiib" localSheetId="5">#REF!</definedName>
    <definedName name="baseiiiib">#REF!</definedName>
    <definedName name="baseiiiic" localSheetId="5">#REF!</definedName>
    <definedName name="baseiiiic">#REF!</definedName>
    <definedName name="BENEFICIOS" localSheetId="5">#REF!</definedName>
    <definedName name="BENEFICIOS">#REF!</definedName>
    <definedName name="bloques4" localSheetId="5">'[4]MATERIALES'!#REF!</definedName>
    <definedName name="bloques4">'[4]MATERIALES'!#REF!</definedName>
    <definedName name="bloques6" localSheetId="5">'[4]MATERIALES'!#REF!</definedName>
    <definedName name="bloques6">'[4]MATERIALES'!#REF!</definedName>
    <definedName name="bloques8" localSheetId="5">'[4]MATERIALES'!#REF!</definedName>
    <definedName name="bloques8">'[4]MATERIALES'!#REF!</definedName>
    <definedName name="brochas" localSheetId="5">#REF!</definedName>
    <definedName name="brochas">#REF!</definedName>
    <definedName name="Cable_de_Postensado" localSheetId="5">#REF!</definedName>
    <definedName name="Cable_de_Postensado">#REF!</definedName>
    <definedName name="cadeneros" localSheetId="5">'[5]O.M. y Salarios'!#REF!</definedName>
    <definedName name="cadeneros">'[5]O.M. y Salarios'!#REF!</definedName>
    <definedName name="camioncama" localSheetId="5">'[2]Listado Equipos a utilizar'!#REF!</definedName>
    <definedName name="camioncama">'[2]Listado Equipos a utilizar'!#REF!</definedName>
    <definedName name="camioneta" localSheetId="5">'[2]Listado Equipos a utilizar'!#REF!</definedName>
    <definedName name="camioneta">'[2]Listado Equipos a utilizar'!#REF!</definedName>
    <definedName name="CAMIONVOLTEO">'[4]EQUIPOS'!$I$19</definedName>
    <definedName name="CAMPAMENTO" localSheetId="5">#REF!</definedName>
    <definedName name="CAMPAMENTO">#REF!</definedName>
    <definedName name="canali" localSheetId="5">#REF!</definedName>
    <definedName name="canali">#REF!</definedName>
    <definedName name="canalii" localSheetId="5">#REF!</definedName>
    <definedName name="canalii">#REF!</definedName>
    <definedName name="canaliii" localSheetId="5">#REF!</definedName>
    <definedName name="canaliii">#REF!</definedName>
    <definedName name="canaliiii" localSheetId="5">#REF!</definedName>
    <definedName name="canaliiii">#REF!</definedName>
    <definedName name="Cant" localSheetId="5">#REF!</definedName>
    <definedName name="Cant">#REF!</definedName>
    <definedName name="CANT1" localSheetId="5">#REF!</definedName>
    <definedName name="CANT1">#REF!</definedName>
    <definedName name="CANT3" localSheetId="5">#REF!</definedName>
    <definedName name="CANT3">#REF!</definedName>
    <definedName name="CANT6" localSheetId="5">#REF!</definedName>
    <definedName name="CANT6">#REF!</definedName>
    <definedName name="canta" localSheetId="5">#REF!</definedName>
    <definedName name="canta">#REF!</definedName>
    <definedName name="CANTIDADPRESUPUESTO" localSheetId="5">#REF!</definedName>
    <definedName name="CANTIDADPRESUPUESTO">#REF!</definedName>
    <definedName name="cantp" localSheetId="5">#REF!</definedName>
    <definedName name="cantp">#REF!</definedName>
    <definedName name="cantpre" localSheetId="5">#REF!</definedName>
    <definedName name="cantpre">#REF!</definedName>
    <definedName name="cantt" localSheetId="5">#REF!</definedName>
    <definedName name="cantt">#REF!</definedName>
    <definedName name="Capatazequipo">'[4]OBRAMANO'!$F$81</definedName>
    <definedName name="cargador" localSheetId="5">'[2]Listado Equipos a utilizar'!#REF!</definedName>
    <definedName name="cargador">'[2]Listado Equipos a utilizar'!#REF!</definedName>
    <definedName name="CARGADORB">'[7]EQUIPOS'!$D$13</definedName>
    <definedName name="Carpintero_1ra">'[6]MO'!$C$21</definedName>
    <definedName name="Carpintero_2da">'[6]MO'!$C$20</definedName>
    <definedName name="Casting_Bed" localSheetId="5">#REF!</definedName>
    <definedName name="Casting_Bed">#REF!</definedName>
    <definedName name="CAT214BFT">'[4]EQUIPOS'!$I$15</definedName>
    <definedName name="Cat950B">'[4]EQUIPOS'!$I$14</definedName>
    <definedName name="Cemento" localSheetId="5">#REF!</definedName>
    <definedName name="Cemento">#REF!</definedName>
    <definedName name="cementoblanco" localSheetId="5">'[4]MATERIALES'!#REF!</definedName>
    <definedName name="cementoblanco">'[4]MATERIALES'!#REF!</definedName>
    <definedName name="cementogris">'[4]MATERIALES'!$G$17</definedName>
    <definedName name="ceramcr33" localSheetId="5">'[4]MATERIALES'!#REF!</definedName>
    <definedName name="ceramcr33">'[4]MATERIALES'!#REF!</definedName>
    <definedName name="ceramcriolla" localSheetId="5">'[4]MATERIALES'!#REF!</definedName>
    <definedName name="ceramcriolla">'[4]MATERIALES'!#REF!</definedName>
    <definedName name="ceramicaitalia" localSheetId="5">'[4]MATERIALES'!#REF!</definedName>
    <definedName name="ceramicaitalia">'[4]MATERIALES'!#REF!</definedName>
    <definedName name="ceramicaitaliapared" localSheetId="5">'[4]MATERIALES'!#REF!</definedName>
    <definedName name="ceramicaitaliapared">'[4]MATERIALES'!#REF!</definedName>
    <definedName name="ceramicaitalipared" localSheetId="5">'[4]MATERIALES'!#REF!</definedName>
    <definedName name="ceramicaitalipared">'[4]MATERIALES'!#REF!</definedName>
    <definedName name="cfrontal">'[5]Resumen Precio Equipos'!$I$16</definedName>
    <definedName name="chazo" localSheetId="5">'[4]OBRAMANO'!#REF!</definedName>
    <definedName name="chazo">'[4]OBRAMANO'!#REF!</definedName>
    <definedName name="chilena" localSheetId="5">#REF!</definedName>
    <definedName name="chilena">#REF!</definedName>
    <definedName name="Chofercisterna">'[4]OBRAMANO'!$F$79</definedName>
    <definedName name="cisterna">'[2]Listado Equipos a utilizar'!$I$11</definedName>
    <definedName name="Clavos" localSheetId="5">#REF!</definedName>
    <definedName name="Clavos">#REF!</definedName>
    <definedName name="colorante" localSheetId="5">#REF!</definedName>
    <definedName name="colorante">#REF!</definedName>
    <definedName name="Compresores">'[4]EQUIPOS'!$I$28</definedName>
    <definedName name="control" localSheetId="5">#REF!</definedName>
    <definedName name="control">#REF!</definedName>
    <definedName name="cprestamo">'[7]EQUIPOS'!$D$27</definedName>
    <definedName name="CRONOGRAMA" localSheetId="5">#REF!</definedName>
    <definedName name="CRONOGRAMA">#REF!</definedName>
    <definedName name="Cuadro_Resumen" localSheetId="5">#REF!</definedName>
    <definedName name="Cuadro_Resumen">#REF!</definedName>
    <definedName name="Cubo_para_vaciado_de_Hormigón" localSheetId="5">#REF!</definedName>
    <definedName name="Cubo_para_vaciado_de_Hormigón">#REF!</definedName>
    <definedName name="cunetasi" localSheetId="5">#REF!</definedName>
    <definedName name="cunetasi">#REF!</definedName>
    <definedName name="cunetasii" localSheetId="5">#REF!</definedName>
    <definedName name="cunetasii">#REF!</definedName>
    <definedName name="cunetasiii" localSheetId="5">#REF!</definedName>
    <definedName name="cunetasiii">#REF!</definedName>
    <definedName name="cunetasiiii" localSheetId="5">#REF!</definedName>
    <definedName name="cunetasiiii">#REF!</definedName>
    <definedName name="Curado_y_Aditivo" localSheetId="5">#REF!</definedName>
    <definedName name="Curado_y_Aditivo">#REF!</definedName>
    <definedName name="cvi" localSheetId="5">#REF!</definedName>
    <definedName name="cvi">#REF!</definedName>
    <definedName name="cvii" localSheetId="5">#REF!</definedName>
    <definedName name="cvii">#REF!</definedName>
    <definedName name="cviii" localSheetId="5">#REF!</definedName>
    <definedName name="cviii">#REF!</definedName>
    <definedName name="cviiii" localSheetId="5">#REF!</definedName>
    <definedName name="cviiii">#REF!</definedName>
    <definedName name="d">'[1]Trabajos Generales'!$D$9</definedName>
    <definedName name="D7H">'[4]EQUIPOS'!$I$9</definedName>
    <definedName name="D8K">'[4]EQUIPOS'!$I$8</definedName>
    <definedName name="d8r" localSheetId="5">'[2]Listado Equipos a utilizar'!#REF!</definedName>
    <definedName name="d8r">'[2]Listado Equipos a utilizar'!#REF!</definedName>
    <definedName name="D8T">'[5]Resumen Precio Equipos'!$I$13</definedName>
    <definedName name="DD" localSheetId="5">#REF!</definedName>
    <definedName name="DD">#REF!</definedName>
    <definedName name="DEDE" localSheetId="5" hidden="1">#REF!</definedName>
    <definedName name="DEDE" hidden="1">#REF!</definedName>
    <definedName name="DEDE2" localSheetId="5" hidden="1">#REF!</definedName>
    <definedName name="DEDE2" hidden="1">#REF!</definedName>
    <definedName name="DEDE3" localSheetId="5" hidden="1">#REF!</definedName>
    <definedName name="DEDE3" hidden="1">#REF!</definedName>
    <definedName name="DEDE4" localSheetId="5">#REF!</definedName>
    <definedName name="DEDE4">#REF!</definedName>
    <definedName name="DEDE5" localSheetId="5" hidden="1">#REF!</definedName>
    <definedName name="DEDE5" hidden="1">#REF!</definedName>
    <definedName name="DEDE6" localSheetId="5" hidden="1">#REF!</definedName>
    <definedName name="DEDE6" hidden="1">#REF!</definedName>
    <definedName name="DEDE7" localSheetId="5" hidden="1">#REF!</definedName>
    <definedName name="DEDE7" hidden="1">#REF!</definedName>
    <definedName name="DEDE8" localSheetId="5">#REF!</definedName>
    <definedName name="DEDE8">#REF!</definedName>
    <definedName name="deducciones" localSheetId="5">#REF!</definedName>
    <definedName name="deducciones">#REF!</definedName>
    <definedName name="DESCRIPCION" localSheetId="5">#REF!</definedName>
    <definedName name="DESCRIPCION">#REF!</definedName>
    <definedName name="desi" localSheetId="5">#REF!</definedName>
    <definedName name="desi">#REF!</definedName>
    <definedName name="desii" localSheetId="5">#REF!</definedName>
    <definedName name="desii">#REF!</definedName>
    <definedName name="desiii" localSheetId="5">#REF!</definedName>
    <definedName name="desiii">#REF!</definedName>
    <definedName name="desiiii" localSheetId="5">#REF!</definedName>
    <definedName name="desiiii">#REF!</definedName>
    <definedName name="desvi" localSheetId="5">#REF!</definedName>
    <definedName name="desvi">#REF!</definedName>
    <definedName name="desvii" localSheetId="5">#REF!</definedName>
    <definedName name="desvii">#REF!</definedName>
    <definedName name="desviii" localSheetId="5">#REF!</definedName>
    <definedName name="desviii">#REF!</definedName>
    <definedName name="desviiii" localSheetId="5">#REF!</definedName>
    <definedName name="desviiii">#REF!</definedName>
    <definedName name="distribuidor">'[2]Listado Equipos a utilizar'!$I$12</definedName>
    <definedName name="drenajei" localSheetId="5">#REF!</definedName>
    <definedName name="drenajei">#REF!</definedName>
    <definedName name="drenajeii" localSheetId="5">#REF!</definedName>
    <definedName name="drenajeii">#REF!</definedName>
    <definedName name="drenajeiii" localSheetId="5">#REF!</definedName>
    <definedName name="drenajeiii">#REF!</definedName>
    <definedName name="drenajeiiii" localSheetId="5">#REF!</definedName>
    <definedName name="drenajeiiii">#REF!</definedName>
    <definedName name="drenajeiiiii" localSheetId="5">#REF!</definedName>
    <definedName name="drenajeiiiii">#REF!</definedName>
    <definedName name="drenajeiiiiii" localSheetId="5">#REF!</definedName>
    <definedName name="drenajeiiiiii">#REF!</definedName>
    <definedName name="drenajeiiiiiii" localSheetId="5">#REF!</definedName>
    <definedName name="drenajeiiiiiii">#REF!</definedName>
    <definedName name="dtecnica">'[5]Resumen Precio Equipos'!$C$27</definedName>
    <definedName name="dulce" localSheetId="5">#REF!</definedName>
    <definedName name="dulce">#REF!</definedName>
    <definedName name="DYNACA25">'[4]EQUIPOS'!$I$13</definedName>
    <definedName name="e214bft" localSheetId="5">'[2]Listado Equipos a utilizar'!#REF!</definedName>
    <definedName name="e214bft">'[2]Listado Equipos a utilizar'!#REF!</definedName>
    <definedName name="e320b" localSheetId="5">'[2]Listado Equipos a utilizar'!#REF!</definedName>
    <definedName name="e320b">'[2]Listado Equipos a utilizar'!#REF!</definedName>
    <definedName name="Empalme_de_Pilotes" localSheetId="5">#REF!</definedName>
    <definedName name="Empalme_de_Pilotes">#REF!</definedName>
    <definedName name="Encache">'[4]OBRAMANO'!$F$43</definedName>
    <definedName name="encai" localSheetId="5">#REF!</definedName>
    <definedName name="encai">#REF!</definedName>
    <definedName name="encaii" localSheetId="5">#REF!</definedName>
    <definedName name="encaii">#REF!</definedName>
    <definedName name="encaiii" localSheetId="5">#REF!</definedName>
    <definedName name="encaiii">#REF!</definedName>
    <definedName name="encaiiii" localSheetId="5">#REF!</definedName>
    <definedName name="encaiiii">#REF!</definedName>
    <definedName name="eqacero" localSheetId="5">'[2]Listado Equipos a utilizar'!#REF!</definedName>
    <definedName name="eqacero">'[2]Listado Equipos a utilizar'!#REF!</definedName>
    <definedName name="escari" localSheetId="5">#REF!</definedName>
    <definedName name="escari">#REF!</definedName>
    <definedName name="escarii" localSheetId="5">#REF!</definedName>
    <definedName name="escarii">#REF!</definedName>
    <definedName name="escariii" localSheetId="5">#REF!</definedName>
    <definedName name="escariii">#REF!</definedName>
    <definedName name="escariiii" localSheetId="5">#REF!</definedName>
    <definedName name="escariiii">#REF!</definedName>
    <definedName name="escobillones" localSheetId="5">'[2]Listado Equipos a utilizar'!#REF!</definedName>
    <definedName name="escobillones">'[2]Listado Equipos a utilizar'!#REF!</definedName>
    <definedName name="Eslingas" localSheetId="5">#REF!</definedName>
    <definedName name="Eslingas">#REF!</definedName>
    <definedName name="ex320b" localSheetId="5">'[2]Listado Equipos a utilizar'!#REF!</definedName>
    <definedName name="ex320b">'[2]Listado Equipos a utilizar'!#REF!</definedName>
    <definedName name="EXC_NO_CLASIF" localSheetId="5">#REF!</definedName>
    <definedName name="EXC_NO_CLASIF">#REF!</definedName>
    <definedName name="excavadora" localSheetId="5">'[2]Listado Equipos a utilizar'!#REF!</definedName>
    <definedName name="excavadora">'[2]Listado Equipos a utilizar'!#REF!</definedName>
    <definedName name="excavadora235">'[4]EQUIPOS'!$I$16</definedName>
    <definedName name="exesi" localSheetId="5">#REF!</definedName>
    <definedName name="exesi">#REF!</definedName>
    <definedName name="exesii" localSheetId="5">#REF!</definedName>
    <definedName name="exesii">#REF!</definedName>
    <definedName name="exesiii" localSheetId="5">#REF!</definedName>
    <definedName name="exesiii">#REF!</definedName>
    <definedName name="exesiiii" localSheetId="5">#REF!</definedName>
    <definedName name="exesiiii">#REF!</definedName>
    <definedName name="F283.05">#REF!</definedName>
    <definedName name="FACT" localSheetId="5">#REF!</definedName>
    <definedName name="FACT">#REF!</definedName>
    <definedName name="FECHA" localSheetId="5">#REF!</definedName>
    <definedName name="FECHA">#REF!</definedName>
    <definedName name="FF" localSheetId="5" hidden="1">#REF!</definedName>
    <definedName name="FF" hidden="1">#REF!</definedName>
    <definedName name="g682.01" localSheetId="5">'[15]ANALISIS PUENTE '!#REF!</definedName>
    <definedName name="g682.01">'[15]ANALISIS PUENTE '!#REF!</definedName>
    <definedName name="gasolina" localSheetId="5">#REF!</definedName>
    <definedName name="gasolina">#REF!</definedName>
    <definedName name="GASTOSGENERALES" localSheetId="5">#REF!</definedName>
    <definedName name="GASTOSGENERALES">#REF!</definedName>
    <definedName name="GASTOSGENERALESA" localSheetId="5">#REF!</definedName>
    <definedName name="GASTOSGENERALESA">#REF!</definedName>
    <definedName name="gavi" localSheetId="5">#REF!</definedName>
    <definedName name="gavi">#REF!</definedName>
    <definedName name="gavii" localSheetId="5">#REF!</definedName>
    <definedName name="gavii">#REF!</definedName>
    <definedName name="gaviii" localSheetId="5">#REF!</definedName>
    <definedName name="gaviii">#REF!</definedName>
    <definedName name="gaviiii" localSheetId="5">#REF!</definedName>
    <definedName name="gaviiii">#REF!</definedName>
    <definedName name="Gaviones">'[4]MATERIALES'!$G$32</definedName>
    <definedName name="GFGFF" localSheetId="5" hidden="1">#REF!</definedName>
    <definedName name="GFGFF" hidden="1">#REF!</definedName>
    <definedName name="GFSG" localSheetId="5" hidden="1">#REF!</definedName>
    <definedName name="GFSG" hidden="1">#REF!</definedName>
    <definedName name="GRADER12G">'[4]EQUIPOS'!$I$11</definedName>
    <definedName name="graderm" localSheetId="5">'[2]Listado Equipos a utilizar'!#REF!</definedName>
    <definedName name="graderm">'[2]Listado Equipos a utilizar'!#REF!</definedName>
    <definedName name="Grúa_Manitowoc_2900" localSheetId="5">#REF!</definedName>
    <definedName name="Grúa_Manitowoc_2900">#REF!</definedName>
    <definedName name="hai" localSheetId="5">#REF!</definedName>
    <definedName name="hai">#REF!</definedName>
    <definedName name="haii" localSheetId="5">#REF!</definedName>
    <definedName name="haii">#REF!</definedName>
    <definedName name="haiii" localSheetId="5">#REF!</definedName>
    <definedName name="haiii">#REF!</definedName>
    <definedName name="haiiii" localSheetId="5">#REF!</definedName>
    <definedName name="haiiii">#REF!</definedName>
    <definedName name="hbi" localSheetId="5">#REF!</definedName>
    <definedName name="hbi">#REF!</definedName>
    <definedName name="hbii" localSheetId="5">#REF!</definedName>
    <definedName name="hbii">#REF!</definedName>
    <definedName name="hbiii" localSheetId="5">#REF!</definedName>
    <definedName name="hbiii">#REF!</definedName>
    <definedName name="hbiiii" localSheetId="5">#REF!</definedName>
    <definedName name="hbiiii">#REF!</definedName>
    <definedName name="hci" localSheetId="5">#REF!</definedName>
    <definedName name="hci">#REF!</definedName>
    <definedName name="hcii" localSheetId="5">#REF!</definedName>
    <definedName name="hcii">#REF!</definedName>
    <definedName name="hciii" localSheetId="5">#REF!</definedName>
    <definedName name="hciii">#REF!</definedName>
    <definedName name="hciiii" localSheetId="5">#REF!</definedName>
    <definedName name="hciiii">#REF!</definedName>
    <definedName name="hcpi" localSheetId="5">#REF!</definedName>
    <definedName name="hcpi">#REF!</definedName>
    <definedName name="hcpii" localSheetId="5">#REF!</definedName>
    <definedName name="hcpii">#REF!</definedName>
    <definedName name="hcpiii" localSheetId="5">#REF!</definedName>
    <definedName name="hcpiii">#REF!</definedName>
    <definedName name="hcpiiii" localSheetId="5">#REF!</definedName>
    <definedName name="hcpiiii">#REF!</definedName>
    <definedName name="hilo" localSheetId="5">#REF!</definedName>
    <definedName name="hilo">#REF!</definedName>
    <definedName name="HINCA" localSheetId="5">#REF!</definedName>
    <definedName name="HINCA">#REF!</definedName>
    <definedName name="Hinca_de_Pilotes" localSheetId="5">#REF!</definedName>
    <definedName name="Hinca_de_Pilotes">#REF!</definedName>
    <definedName name="HINCADEPILOTES" localSheetId="5">#REF!</definedName>
    <definedName name="HINCADEPILOTES">#REF!</definedName>
    <definedName name="HORACIO" localSheetId="5">#REF!</definedName>
    <definedName name="HORACIO">#REF!</definedName>
    <definedName name="hormigon140" localSheetId="5">#REF!</definedName>
    <definedName name="hormigon140">#REF!</definedName>
    <definedName name="hormigon210" localSheetId="5">#REF!</definedName>
    <definedName name="hormigon210">#REF!</definedName>
    <definedName name="hormigon210i" localSheetId="5">'[4]MATERIALES'!#REF!</definedName>
    <definedName name="hormigon210i">'[4]MATERIALES'!#REF!</definedName>
    <definedName name="hormigon240" localSheetId="5">#REF!</definedName>
    <definedName name="hormigon240">#REF!</definedName>
    <definedName name="Hormigon240i" localSheetId="5">'[4]MATERIALES'!#REF!</definedName>
    <definedName name="Hormigon240i">'[4]MATERIALES'!#REF!</definedName>
    <definedName name="hormigon280" localSheetId="5">#REF!</definedName>
    <definedName name="hormigon280">#REF!</definedName>
    <definedName name="HORMIGON350" localSheetId="5">#REF!</definedName>
    <definedName name="HORMIGON350">#REF!</definedName>
    <definedName name="HORMIGONARMADOALETAS" localSheetId="5">#REF!</definedName>
    <definedName name="HORMIGONARMADOALETAS">#REF!</definedName>
    <definedName name="HORMIGONARMADOESTRIBOS" localSheetId="5">#REF!</definedName>
    <definedName name="HORMIGONARMADOESTRIBOS">#REF!</definedName>
    <definedName name="HORMIGONARMADOGUARDARRUEDASYDEFENSASLATERALES" localSheetId="5">#REF!</definedName>
    <definedName name="HORMIGONARMADOGUARDARRUEDASYDEFENSASLATERALES">#REF!</definedName>
    <definedName name="HORMIGONARMADOLOSADEAPROCHE" localSheetId="5">#REF!</definedName>
    <definedName name="HORMIGONARMADOLOSADEAPROCHE">#REF!</definedName>
    <definedName name="HORMIGONARMADOLOSADETABLERO" localSheetId="5">#REF!</definedName>
    <definedName name="HORMIGONARMADOLOSADETABLERO">#REF!</definedName>
    <definedName name="HORMIGONARMADOVIGUETAS" localSheetId="5">#REF!</definedName>
    <definedName name="HORMIGONARMADOVIGUETAS">#REF!</definedName>
    <definedName name="hormigonproteccionpilas" localSheetId="5">#REF!</definedName>
    <definedName name="hormigonproteccionpilas">#REF!</definedName>
    <definedName name="HORMIGONSIMPLE" localSheetId="5">#REF!</definedName>
    <definedName name="HORMIGONSIMPLE">#REF!</definedName>
    <definedName name="HORMIGONVIGASPOSTENSADAS" localSheetId="5">#REF!</definedName>
    <definedName name="HORMIGONVIGASPOSTENSADAS">#REF!</definedName>
    <definedName name="IMPRIMACION">#N/A</definedName>
    <definedName name="INGENIERIA">#N/A</definedName>
    <definedName name="ingi" localSheetId="5">#REF!</definedName>
    <definedName name="ingi">#REF!</definedName>
    <definedName name="ingii" localSheetId="5">#REF!</definedName>
    <definedName name="ingii">#REF!</definedName>
    <definedName name="ingiii" localSheetId="5">#REF!</definedName>
    <definedName name="ingiii">#REF!</definedName>
    <definedName name="ingiiii" localSheetId="5">#REF!</definedName>
    <definedName name="ingiiii">#REF!</definedName>
    <definedName name="itabo" localSheetId="5">#REF!</definedName>
    <definedName name="itabo">#REF!</definedName>
    <definedName name="Izado_de_Tabletas" localSheetId="5">#REF!</definedName>
    <definedName name="Izado_de_Tabletas">#REF!</definedName>
    <definedName name="IZAJE" localSheetId="5">#REF!</definedName>
    <definedName name="IZAJE">#REF!</definedName>
    <definedName name="Izaje_de_Vigas_Postensadas" localSheetId="5">#REF!</definedName>
    <definedName name="Izaje_de_Vigas_Postensadas">#REF!</definedName>
    <definedName name="jminimo" localSheetId="5">#REF!</definedName>
    <definedName name="jminimo">#REF!</definedName>
    <definedName name="kerosene" localSheetId="5">#REF!</definedName>
    <definedName name="kerosene">#REF!</definedName>
    <definedName name="Kilometro">'[4]EQUIPOS'!$I$25</definedName>
    <definedName name="komatsu" localSheetId="5">'[2]Listado Equipos a utilizar'!#REF!</definedName>
    <definedName name="komatsu">'[2]Listado Equipos a utilizar'!#REF!</definedName>
    <definedName name="Ligado_y_vaciado" localSheetId="5">#REF!</definedName>
    <definedName name="Ligado_y_vaciado">#REF!</definedName>
    <definedName name="ligadohormigon" localSheetId="5">'[4]OBRAMANO'!#REF!</definedName>
    <definedName name="ligadohormigon">'[4]OBRAMANO'!#REF!</definedName>
    <definedName name="ligadora" localSheetId="5">'[2]Listado Equipos a utilizar'!#REF!</definedName>
    <definedName name="ligadora">'[2]Listado Equipos a utilizar'!#REF!</definedName>
    <definedName name="Ligadora_de_1_funda" localSheetId="5">#REF!</definedName>
    <definedName name="Ligadora_de_1_funda">#REF!</definedName>
    <definedName name="Ligadora_de_2_funda" localSheetId="5">#REF!</definedName>
    <definedName name="Ligadora_de_2_funda">#REF!</definedName>
    <definedName name="limpi" localSheetId="5">#REF!</definedName>
    <definedName name="limpi">#REF!</definedName>
    <definedName name="limpii" localSheetId="5">#REF!</definedName>
    <definedName name="limpii">#REF!</definedName>
    <definedName name="limpiii" localSheetId="5">#REF!</definedName>
    <definedName name="limpiii">#REF!</definedName>
    <definedName name="limpiiii" localSheetId="5">#REF!</definedName>
    <definedName name="limpiiii">#REF!</definedName>
    <definedName name="llaveacero" localSheetId="5">#REF!</definedName>
    <definedName name="llaveacero">#REF!</definedName>
    <definedName name="llaveacondicionamientohinca" localSheetId="5">#REF!</definedName>
    <definedName name="llaveacondicionamientohinca">#REF!</definedName>
    <definedName name="llaveagregado" localSheetId="5">#REF!</definedName>
    <definedName name="llaveagregado">#REF!</definedName>
    <definedName name="llaveagua" localSheetId="5">#REF!</definedName>
    <definedName name="llaveagua">#REF!</definedName>
    <definedName name="llavealambre" localSheetId="5">#REF!</definedName>
    <definedName name="llavealambre">#REF!</definedName>
    <definedName name="llaveanclajedepilotes" localSheetId="5">#REF!</definedName>
    <definedName name="llaveanclajedepilotes">#REF!</definedName>
    <definedName name="llavecablepostensado" localSheetId="5">#REF!</definedName>
    <definedName name="llavecablepostensado">#REF!</definedName>
    <definedName name="llavecastingbed" localSheetId="5">#REF!</definedName>
    <definedName name="llavecastingbed">#REF!</definedName>
    <definedName name="llavecemento" localSheetId="5">#REF!</definedName>
    <definedName name="llavecemento">#REF!</definedName>
    <definedName name="llaveclavos" localSheetId="5">#REF!</definedName>
    <definedName name="llaveclavos">#REF!</definedName>
    <definedName name="llavecuradoyaditivo" localSheetId="5">#REF!</definedName>
    <definedName name="llavecuradoyaditivo">#REF!</definedName>
    <definedName name="llaveempalmepilotes" localSheetId="5">#REF!</definedName>
    <definedName name="llaveempalmepilotes">#REF!</definedName>
    <definedName name="llavehincapilotes" localSheetId="5">#REF!</definedName>
    <definedName name="llavehincapilotes">#REF!</definedName>
    <definedName name="llaveizadotabletas" localSheetId="5">#REF!</definedName>
    <definedName name="llaveizadotabletas">#REF!</definedName>
    <definedName name="llaveizajevigaspostensadas" localSheetId="5">#REF!</definedName>
    <definedName name="llaveizajevigaspostensadas">#REF!</definedName>
    <definedName name="llaveligadoyvaciado" localSheetId="5">#REF!</definedName>
    <definedName name="llaveligadoyvaciado">#REF!</definedName>
    <definedName name="llavemadera" localSheetId="5">#REF!</definedName>
    <definedName name="llavemadera">#REF!</definedName>
    <definedName name="llavemanejocemento" localSheetId="5">#REF!</definedName>
    <definedName name="llavemanejocemento">#REF!</definedName>
    <definedName name="llavemanejopilotes" localSheetId="5">#REF!</definedName>
    <definedName name="llavemanejopilotes">#REF!</definedName>
    <definedName name="llavemoacero" localSheetId="5">#REF!</definedName>
    <definedName name="llavemoacero">#REF!</definedName>
    <definedName name="llavemomadera" localSheetId="5">#REF!</definedName>
    <definedName name="llavemomadera">#REF!</definedName>
    <definedName name="LLAVES" localSheetId="5">#REF!</definedName>
    <definedName name="LLAVES">#REF!</definedName>
    <definedName name="llavetratamientomoldes" localSheetId="5">#REF!</definedName>
    <definedName name="llavetratamientomoldes">#REF!</definedName>
    <definedName name="lubricantes">'[8]Materiales'!$K$15</definedName>
    <definedName name="M.O._Colocación_Cables_Postensados" localSheetId="5">#REF!</definedName>
    <definedName name="M.O._Colocación_Cables_Postensados">#REF!</definedName>
    <definedName name="M.O._Colocación_Tabletas_Prefabricados" localSheetId="5">#REF!</definedName>
    <definedName name="M.O._Colocación_Tabletas_Prefabricados">#REF!</definedName>
    <definedName name="M.O._Confección_Moldes" localSheetId="5">#REF!</definedName>
    <definedName name="M.O._Confección_Moldes">#REF!</definedName>
    <definedName name="M.O._Vigas_Postensadas__Incl._Cast." localSheetId="5">#REF!</definedName>
    <definedName name="M.O._Vigas_Postensadas__Incl._Cast.">#REF!</definedName>
    <definedName name="MACO">'[4]EQUIPOS'!$I$21</definedName>
    <definedName name="Madera" localSheetId="5">#REF!</definedName>
    <definedName name="Madera">#REF!</definedName>
    <definedName name="mami" localSheetId="5">#REF!</definedName>
    <definedName name="mami">#REF!</definedName>
    <definedName name="mamii" localSheetId="5">#REF!</definedName>
    <definedName name="mamii">#REF!</definedName>
    <definedName name="mamiii" localSheetId="5">#REF!</definedName>
    <definedName name="mamiii">#REF!</definedName>
    <definedName name="mamiiii" localSheetId="5">#REF!</definedName>
    <definedName name="mamiiii">#REF!</definedName>
    <definedName name="Mano_de_Obra_Acero" localSheetId="5">#REF!</definedName>
    <definedName name="Mano_de_Obra_Acero">#REF!</definedName>
    <definedName name="Mano_de_Obra_Madera" localSheetId="5">#REF!</definedName>
    <definedName name="Mano_de_Obra_Madera">#REF!</definedName>
    <definedName name="mantenimientodemoldes" localSheetId="5">#REF!</definedName>
    <definedName name="mantenimientodemoldes">#REF!</definedName>
    <definedName name="manti" localSheetId="5">#REF!</definedName>
    <definedName name="manti">#REF!</definedName>
    <definedName name="mantii" localSheetId="5">#REF!</definedName>
    <definedName name="mantii">#REF!</definedName>
    <definedName name="mantiii" localSheetId="5">#REF!</definedName>
    <definedName name="mantiii">#REF!</definedName>
    <definedName name="mantiiii" localSheetId="5">#REF!</definedName>
    <definedName name="mantiiii">#REF!</definedName>
    <definedName name="MANTTRANSITO">#N/A</definedName>
    <definedName name="MAPI">'[14]MOJornal'!$D$38</definedName>
    <definedName name="maquito" localSheetId="5">'[2]Listado Equipos a utilizar'!#REF!</definedName>
    <definedName name="maquito">'[2]Listado Equipos a utilizar'!#REF!</definedName>
    <definedName name="martillo" localSheetId="5">#REF!</definedName>
    <definedName name="martillo">#REF!</definedName>
    <definedName name="MBR" localSheetId="5">#REF!</definedName>
    <definedName name="MBR">#REF!</definedName>
    <definedName name="mocarpinteria" localSheetId="5">#REF!</definedName>
    <definedName name="mocarpinteria">#REF!</definedName>
    <definedName name="NCLASI" localSheetId="5">#REF!</definedName>
    <definedName name="NCLASI">#REF!</definedName>
    <definedName name="NCLASII" localSheetId="5">#REF!</definedName>
    <definedName name="NCLASII">#REF!</definedName>
    <definedName name="NCLASIII" localSheetId="5">#REF!</definedName>
    <definedName name="NCLASIII">#REF!</definedName>
    <definedName name="NCLASIIII" localSheetId="5">#REF!</definedName>
    <definedName name="NCLASIIII">#REF!</definedName>
    <definedName name="nissan" localSheetId="5">'[2]Listado Equipos a utilizar'!#REF!</definedName>
    <definedName name="nissan">'[2]Listado Equipos a utilizar'!#REF!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 localSheetId="5">#REF!</definedName>
    <definedName name="o0">#REF!</definedName>
    <definedName name="o0">#REF!</definedName>
    <definedName name="o0">#REF!</definedName>
    <definedName name="obi" localSheetId="5">#REF!</definedName>
    <definedName name="obi">#REF!</definedName>
    <definedName name="obii" localSheetId="5">#REF!</definedName>
    <definedName name="obii">#REF!</definedName>
    <definedName name="obiii" localSheetId="5">#REF!</definedName>
    <definedName name="obiii">#REF!</definedName>
    <definedName name="obiiii" localSheetId="5">#REF!</definedName>
    <definedName name="obiiii">#REF!</definedName>
    <definedName name="Obrero_Dia">'[6]MO'!$C$11</definedName>
    <definedName name="ofi" localSheetId="5">#REF!</definedName>
    <definedName name="ofi">#REF!</definedName>
    <definedName name="ofii" localSheetId="5">#REF!</definedName>
    <definedName name="ofii">#REF!</definedName>
    <definedName name="ofiii" localSheetId="5">#REF!</definedName>
    <definedName name="ofiii">#REF!</definedName>
    <definedName name="ofiiii" localSheetId="5">#REF!</definedName>
    <definedName name="ofiiii">#REF!</definedName>
    <definedName name="OISOE" localSheetId="5">#REF!</definedName>
    <definedName name="OISOE">#REF!</definedName>
    <definedName name="omencofrado" localSheetId="5">'[5]O.M. y Salarios'!#REF!</definedName>
    <definedName name="omencofrado">'[5]O.M. y Salarios'!#REF!</definedName>
    <definedName name="opala">'[8]Salarios'!$D$16</definedName>
    <definedName name="Operadorgrader">'[4]OBRAMANO'!$F$74</definedName>
    <definedName name="operadorpala">'[4]OBRAMANO'!$F$72</definedName>
    <definedName name="operadorretro">'[4]OBRAMANO'!$F$77</definedName>
    <definedName name="operadorrodillo">'[4]OBRAMANO'!$F$75</definedName>
    <definedName name="operadortractor">'[4]OBRAMANO'!$F$76</definedName>
    <definedName name="otractor">'[8]Salarios'!$D$14</definedName>
    <definedName name="P.U." localSheetId="5">#REF!</definedName>
    <definedName name="P.U.">#REF!</definedName>
    <definedName name="pala" localSheetId="5">#REF!</definedName>
    <definedName name="pala">#REF!</definedName>
    <definedName name="peon">'[5]O.M. y Salarios'!$G$39</definedName>
    <definedName name="Peones" localSheetId="5">#REF!</definedName>
    <definedName name="Peones">#REF!</definedName>
    <definedName name="pico" localSheetId="5">#REF!</definedName>
    <definedName name="pico">#REF!</definedName>
    <definedName name="pilote" localSheetId="5">#REF!</definedName>
    <definedName name="pilote">#REF!</definedName>
    <definedName name="pilotes" localSheetId="5">#REF!</definedName>
    <definedName name="pilotes">#REF!</definedName>
    <definedName name="pinobruto">'[4]MATERIALES'!$G$33</definedName>
    <definedName name="Pintura_Epóxica_Popular" localSheetId="5">#REF!</definedName>
    <definedName name="Pintura_Epóxica_Popular">#REF!</definedName>
    <definedName name="pinturas" localSheetId="5">#REF!</definedName>
    <definedName name="pinturas">#REF!</definedName>
    <definedName name="Plancha_de_Plywood_4_x8_x3_4" localSheetId="5">#REF!</definedName>
    <definedName name="Plancha_de_Plywood_4_x8_x3_4">#REF!</definedName>
    <definedName name="Planta_Eléctrica_para_tesado" localSheetId="5">#REF!</definedName>
    <definedName name="Planta_Eléctrica_para_tesado">#REF!</definedName>
    <definedName name="porciento" localSheetId="5">#REF!</definedName>
    <definedName name="porciento">#REF!</definedName>
    <definedName name="preci" localSheetId="5">#REF!</definedName>
    <definedName name="preci">#REF!</definedName>
    <definedName name="precii" localSheetId="5">#REF!</definedName>
    <definedName name="precii">#REF!</definedName>
    <definedName name="preciii" localSheetId="5">#REF!</definedName>
    <definedName name="preciii">#REF!</definedName>
    <definedName name="preciiii" localSheetId="5">#REF!</definedName>
    <definedName name="preciiii">#REF!</definedName>
    <definedName name="precios">'[9]Precios'!$A$4:$F$1576</definedName>
    <definedName name="preli" localSheetId="5">#REF!</definedName>
    <definedName name="preli">#REF!</definedName>
    <definedName name="prelii" localSheetId="5">#REF!</definedName>
    <definedName name="prelii">#REF!</definedName>
    <definedName name="preliii" localSheetId="5">#REF!</definedName>
    <definedName name="preliii">#REF!</definedName>
    <definedName name="preliiii" localSheetId="5">#REF!</definedName>
    <definedName name="preliiii">#REF!</definedName>
    <definedName name="presupuestoc1" localSheetId="5">#REF!</definedName>
    <definedName name="presupuestoc1">#REF!</definedName>
    <definedName name="presupuestoc2" localSheetId="5">#REF!</definedName>
    <definedName name="presupuestoc2">#REF!</definedName>
    <definedName name="PRIMA" localSheetId="5">#REF!</definedName>
    <definedName name="PRIMA">#REF!</definedName>
    <definedName name="PROMEDIO" localSheetId="5">#REF!</definedName>
    <definedName name="PROMEDIO">#REF!</definedName>
    <definedName name="Proyecto" localSheetId="5">#REF!</definedName>
    <definedName name="Proyecto">#REF!</definedName>
    <definedName name="pti" localSheetId="5">#REF!</definedName>
    <definedName name="pti">#REF!</definedName>
    <definedName name="ptii" localSheetId="5">#REF!</definedName>
    <definedName name="ptii">#REF!</definedName>
    <definedName name="ptiii" localSheetId="5">#REF!</definedName>
    <definedName name="ptiii">#REF!</definedName>
    <definedName name="ptiiii" localSheetId="5">#REF!</definedName>
    <definedName name="ptiiii">#REF!</definedName>
    <definedName name="PU" localSheetId="5">#REF!</definedName>
    <definedName name="PU">#REF!</definedName>
    <definedName name="pu1">#REF!</definedName>
    <definedName name="PU3">#REF!</definedName>
    <definedName name="PU6">#REF!</definedName>
    <definedName name="puacero" localSheetId="5">#REF!</definedName>
    <definedName name="puacero">#REF!</definedName>
    <definedName name="pubaranda" localSheetId="5">#REF!</definedName>
    <definedName name="pubaranda">#REF!</definedName>
    <definedName name="pucabezales" localSheetId="5">#REF!</definedName>
    <definedName name="pucabezales">#REF!</definedName>
    <definedName name="pucastingbed" localSheetId="5">#REF!</definedName>
    <definedName name="pucastingbed">#REF!</definedName>
    <definedName name="PUCEMENTO" localSheetId="5">#REF!</definedName>
    <definedName name="PUCEMENTO">#REF!</definedName>
    <definedName name="puhormigon280" localSheetId="5">#REF!</definedName>
    <definedName name="puhormigon280">#REF!</definedName>
    <definedName name="puinyeccion" localSheetId="5">#REF!</definedName>
    <definedName name="puinyeccion">#REF!</definedName>
    <definedName name="pulosaaproche" localSheetId="5">#REF!</definedName>
    <definedName name="pulosaaproche">#REF!</definedName>
    <definedName name="pulosacalzada" localSheetId="5">#REF!</definedName>
    <definedName name="pulosacalzada">#REF!</definedName>
    <definedName name="PUMADERA" localSheetId="5">#REF!</definedName>
    <definedName name="PUMADERA">#REF!</definedName>
    <definedName name="punewjersey" localSheetId="5">#REF!</definedName>
    <definedName name="punewjersey">#REF!</definedName>
    <definedName name="putabletas" localSheetId="5">#REF!</definedName>
    <definedName name="putabletas">#REF!</definedName>
    <definedName name="puvigastransversales" localSheetId="5">#REF!</definedName>
    <definedName name="puvigastransversales">#REF!</definedName>
    <definedName name="rastra" localSheetId="5">'[2]Listado Equipos a utilizar'!#REF!</definedName>
    <definedName name="rastra">'[2]Listado Equipos a utilizar'!#REF!</definedName>
    <definedName name="rastrapuas" localSheetId="5">'[2]Listado Equipos a utilizar'!#REF!</definedName>
    <definedName name="rastrapuas">'[2]Listado Equipos a utilizar'!#REF!</definedName>
    <definedName name="reesti" localSheetId="5">#REF!</definedName>
    <definedName name="reesti">#REF!</definedName>
    <definedName name="reestii" localSheetId="5">#REF!</definedName>
    <definedName name="reestii">#REF!</definedName>
    <definedName name="reestiii" localSheetId="5">#REF!</definedName>
    <definedName name="reestiii">#REF!</definedName>
    <definedName name="reestiiii" localSheetId="5">#REF!</definedName>
    <definedName name="reestiiii">#REF!</definedName>
    <definedName name="regi" localSheetId="5">'[10]Pasarela de L=60.00'!#REF!</definedName>
    <definedName name="regi">'[10]Pasarela de L=60.00'!#REF!</definedName>
    <definedName name="REGISTRO">#N/A</definedName>
    <definedName name="rei" localSheetId="5">#REF!</definedName>
    <definedName name="rei">#REF!</definedName>
    <definedName name="reii" localSheetId="5">#REF!</definedName>
    <definedName name="reii">#REF!</definedName>
    <definedName name="reiii" localSheetId="5">#REF!</definedName>
    <definedName name="reiii">#REF!</definedName>
    <definedName name="reiiii" localSheetId="5">#REF!</definedName>
    <definedName name="reiiii">#REF!</definedName>
    <definedName name="retui" localSheetId="5">#REF!</definedName>
    <definedName name="retui">#REF!</definedName>
    <definedName name="retuii" localSheetId="5">#REF!</definedName>
    <definedName name="retuii">#REF!</definedName>
    <definedName name="retuiii" localSheetId="5">#REF!</definedName>
    <definedName name="retuiii">#REF!</definedName>
    <definedName name="retuiiii" localSheetId="5">#REF!</definedName>
    <definedName name="retuiiii">#REF!</definedName>
    <definedName name="rodillo" localSheetId="5">'[2]Listado Equipos a utilizar'!#REF!</definedName>
    <definedName name="rodillo">'[2]Listado Equipos a utilizar'!#REF!</definedName>
    <definedName name="rodneu" localSheetId="5">'[2]Listado Equipos a utilizar'!#REF!</definedName>
    <definedName name="rodneu">'[2]Listado Equipos a utilizar'!#REF!</definedName>
    <definedName name="roti" localSheetId="5">#REF!</definedName>
    <definedName name="roti">#REF!</definedName>
    <definedName name="rotii" localSheetId="5">#REF!</definedName>
    <definedName name="rotii">#REF!</definedName>
    <definedName name="rotiii" localSheetId="5">#REF!</definedName>
    <definedName name="rotiii">#REF!</definedName>
    <definedName name="rotiiii" localSheetId="5">#REF!</definedName>
    <definedName name="rotiiii">#REF!</definedName>
    <definedName name="rvesti" localSheetId="5">#REF!</definedName>
    <definedName name="rvesti">#REF!</definedName>
    <definedName name="rvestii" localSheetId="5">#REF!</definedName>
    <definedName name="rvestii">#REF!</definedName>
    <definedName name="rvestiii" localSheetId="5">#REF!</definedName>
    <definedName name="rvestiii">#REF!</definedName>
    <definedName name="rvestiiii" localSheetId="5">#REF!</definedName>
    <definedName name="rvestiiii">#REF!</definedName>
    <definedName name="SDFSDD" localSheetId="5">#REF!</definedName>
    <definedName name="SDFSDD">#REF!</definedName>
    <definedName name="SEGUROS" localSheetId="5">#REF!</definedName>
    <definedName name="SEGUROS">#REF!</definedName>
    <definedName name="senai" localSheetId="5">#REF!</definedName>
    <definedName name="senai">#REF!</definedName>
    <definedName name="senaii" localSheetId="5">#REF!</definedName>
    <definedName name="senaii">#REF!</definedName>
    <definedName name="senaiii" localSheetId="5">#REF!</definedName>
    <definedName name="senaiii">#REF!</definedName>
    <definedName name="senaiiii" localSheetId="5">#REF!</definedName>
    <definedName name="senaiiii">#REF!</definedName>
    <definedName name="Sereno_Mes">'[6]MO'!$B$16</definedName>
    <definedName name="solvente" localSheetId="5">#REF!</definedName>
    <definedName name="solvente">#REF!</definedName>
    <definedName name="SUB" localSheetId="5">#REF!</definedName>
    <definedName name="SUB">#REF!</definedName>
    <definedName name="SUB1" localSheetId="5">#REF!</definedName>
    <definedName name="SUB1">#REF!</definedName>
    <definedName name="SUBBASE">#N/A</definedName>
    <definedName name="Subida__Bajada_y_Transporte_Cemento" localSheetId="5">#REF!</definedName>
    <definedName name="Subida__Bajada_y_Transporte_Cemento">#REF!</definedName>
    <definedName name="subtotal" localSheetId="5">#REF!</definedName>
    <definedName name="subtotal">#REF!</definedName>
    <definedName name="SUBTOTAL1" localSheetId="5">#REF!</definedName>
    <definedName name="SUBTOTAL1">#REF!</definedName>
    <definedName name="SUBTOTALA" localSheetId="5">#REF!</definedName>
    <definedName name="SUBTOTALA">#REF!</definedName>
    <definedName name="SUBTOTALGASTOSGENERALES" localSheetId="5">#REF!</definedName>
    <definedName name="SUBTOTALGASTOSGENERALES">#REF!</definedName>
    <definedName name="SUBTOTALGASTOSGENERALES1" localSheetId="5">#REF!</definedName>
    <definedName name="SUBTOTALGASTOSGENERALES1">#REF!</definedName>
    <definedName name="SUBTOTALPRESU" localSheetId="5">#REF!</definedName>
    <definedName name="SUBTOTALPRESU">#REF!</definedName>
    <definedName name="SUELDO" localSheetId="5">#REF!</definedName>
    <definedName name="SUELDO">#REF!</definedName>
    <definedName name="SUMINISTROS" localSheetId="5">#REF!</definedName>
    <definedName name="SUMINISTROS">#REF!</definedName>
    <definedName name="tablestacas" localSheetId="5">#REF!</definedName>
    <definedName name="tablestacas">#REF!</definedName>
    <definedName name="TABLETAS" localSheetId="5">#REF!</definedName>
    <definedName name="TABLETAS">#REF!</definedName>
    <definedName name="TCPI">'[14]MOJornal'!$D$70</definedName>
    <definedName name="tetuii" localSheetId="5">#REF!</definedName>
    <definedName name="tetuii">#REF!</definedName>
    <definedName name="tie" localSheetId="5">#REF!</definedName>
    <definedName name="tie">#REF!</definedName>
    <definedName name="_xlnm.Print_Titles" localSheetId="3">'Rel. Equipos'!$1:$9</definedName>
    <definedName name="_xlnm.Print_Titles" localSheetId="4">'Rel. Equipos (2)'!$1:$4</definedName>
    <definedName name="_xlnm.Print_Titles" localSheetId="5">'Rel. Partidas'!$1:$11</definedName>
    <definedName name="tiza" localSheetId="5">#REF!</definedName>
    <definedName name="tiza">#REF!</definedName>
    <definedName name="TNCPI">'[14]MOJornal'!$D$80</definedName>
    <definedName name="tony" localSheetId="5">'[10]Pasarela de L=60.00'!#REF!</definedName>
    <definedName name="tony">'[10]Pasarela de L=60.00'!#REF!</definedName>
    <definedName name="TOPOGRAFIA" localSheetId="5">#REF!</definedName>
    <definedName name="TOPOGRAFIA">#REF!</definedName>
    <definedName name="Tornillos_5_x3_8" localSheetId="5">#REF!</definedName>
    <definedName name="Tornillos_5_x3_8">#REF!</definedName>
    <definedName name="tosi" localSheetId="5">#REF!</definedName>
    <definedName name="tosi">#REF!</definedName>
    <definedName name="tosii" localSheetId="5">#REF!</definedName>
    <definedName name="tosii">#REF!</definedName>
    <definedName name="tosiii" localSheetId="5">#REF!</definedName>
    <definedName name="tosiii">#REF!</definedName>
    <definedName name="tosiiii" localSheetId="5">#REF!</definedName>
    <definedName name="tosiiii">#REF!</definedName>
    <definedName name="totalgeneral" localSheetId="5">#REF!</definedName>
    <definedName name="totalgeneral">#REF!</definedName>
    <definedName name="TRACTORD">'[7]EQUIPOS'!$D$14</definedName>
    <definedName name="tractorm" localSheetId="5">'[2]Listado Equipos a utilizar'!#REF!</definedName>
    <definedName name="tractorm">'[2]Listado Equipos a utilizar'!#REF!</definedName>
    <definedName name="transpasf" localSheetId="5">'[2]Listado Equipos a utilizar'!#REF!</definedName>
    <definedName name="transpasf">'[2]Listado Equipos a utilizar'!#REF!</definedName>
    <definedName name="transporte">'[5]Resumen Precio Equipos'!$C$30</definedName>
    <definedName name="Tratamiento_Moldes_para_Barandilla" localSheetId="5">#REF!</definedName>
    <definedName name="Tratamiento_Moldes_para_Barandilla">#REF!</definedName>
    <definedName name="truct" localSheetId="5">'[5]Materiales'!#REF!</definedName>
    <definedName name="truct">'[5]Materiales'!#REF!</definedName>
    <definedName name="TUB24">#N/A</definedName>
    <definedName name="tubai" localSheetId="5">#REF!</definedName>
    <definedName name="tubai">#REF!</definedName>
    <definedName name="tubaii" localSheetId="5">#REF!</definedName>
    <definedName name="tubaii">#REF!</definedName>
    <definedName name="tubaiii" localSheetId="5">#REF!</definedName>
    <definedName name="tubaiii">#REF!</definedName>
    <definedName name="tubaiiii" localSheetId="5">#REF!</definedName>
    <definedName name="tubaiiii">#REF!</definedName>
    <definedName name="tubei" localSheetId="5">#REF!</definedName>
    <definedName name="tubei">#REF!</definedName>
    <definedName name="tubeii" localSheetId="5">#REF!</definedName>
    <definedName name="tubeii">#REF!</definedName>
    <definedName name="tubeiii" localSheetId="5">#REF!</definedName>
    <definedName name="tubeiii">#REF!</definedName>
    <definedName name="tubeiiii" localSheetId="5">#REF!</definedName>
    <definedName name="tubeiiii">#REF!</definedName>
    <definedName name="tubi" localSheetId="5">#REF!</definedName>
    <definedName name="tubi">#REF!</definedName>
    <definedName name="tubii" localSheetId="5">#REF!</definedName>
    <definedName name="tubii">#REF!</definedName>
    <definedName name="tubiii" localSheetId="5">#REF!</definedName>
    <definedName name="tubiii">#REF!</definedName>
    <definedName name="tubiiii" localSheetId="5">#REF!</definedName>
    <definedName name="tubiiii">#REF!</definedName>
    <definedName name="tuboi" localSheetId="5">#REF!</definedName>
    <definedName name="tuboi">#REF!</definedName>
    <definedName name="tuboii" localSheetId="5">#REF!</definedName>
    <definedName name="tuboii">#REF!</definedName>
    <definedName name="tuboiii" localSheetId="5">#REF!</definedName>
    <definedName name="tuboiii">#REF!</definedName>
    <definedName name="tuboiiii" localSheetId="5">#REF!</definedName>
    <definedName name="tuboiiii">#REF!</definedName>
    <definedName name="tubui" localSheetId="5">#REF!</definedName>
    <definedName name="tubui">#REF!</definedName>
    <definedName name="tubuii" localSheetId="5">#REF!</definedName>
    <definedName name="tubuii">#REF!</definedName>
    <definedName name="tubuiii" localSheetId="5">#REF!</definedName>
    <definedName name="tubuiii">#REF!</definedName>
    <definedName name="tubuiiii" localSheetId="5">#REF!</definedName>
    <definedName name="tubuiiii">#REF!</definedName>
    <definedName name="UD." localSheetId="5">#REF!</definedName>
    <definedName name="UD.">#REF!</definedName>
    <definedName name="vaciado" localSheetId="5">#REF!</definedName>
    <definedName name="vaciado">#REF!</definedName>
    <definedName name="VALOR" localSheetId="5">#REF!</definedName>
    <definedName name="VALOR">#REF!</definedName>
    <definedName name="valora" localSheetId="5">#REF!</definedName>
    <definedName name="valora">#REF!</definedName>
    <definedName name="valorp" localSheetId="5">#REF!</definedName>
    <definedName name="valorp">#REF!</definedName>
    <definedName name="VALORPRESUPUESTO" localSheetId="5">#REF!</definedName>
    <definedName name="VALORPRESUPUESTO">#REF!</definedName>
    <definedName name="varillas" localSheetId="5">#REF!</definedName>
    <definedName name="varillas">#REF!</definedName>
    <definedName name="vehicular">#REF!</definedName>
    <definedName name="volteobote" localSheetId="5">'[2]Listado Equipos a utilizar'!#REF!</definedName>
    <definedName name="volteobote">'[2]Listado Equipos a utilizar'!#REF!</definedName>
    <definedName name="volteobotela" localSheetId="5">'[2]Listado Equipos a utilizar'!#REF!</definedName>
    <definedName name="volteobotela">'[2]Listado Equipos a utilizar'!#REF!</definedName>
    <definedName name="volteobotelargo" localSheetId="5">'[2]Listado Equipos a utilizar'!#REF!</definedName>
    <definedName name="volteobotelargo">'[2]Listado Equipos a utilizar'!#REF!</definedName>
    <definedName name="VXCSD" localSheetId="5">#REF!</definedName>
    <definedName name="VXCSD">#REF!</definedName>
  </definedNames>
  <calcPr fullCalcOnLoad="1" fullPrecision="0"/>
</workbook>
</file>

<file path=xl/comments2.xml><?xml version="1.0" encoding="utf-8"?>
<comments xmlns="http://schemas.openxmlformats.org/spreadsheetml/2006/main">
  <authors>
    <author>Alexander Luna Mej?a</author>
  </authors>
  <commentList>
    <comment ref="D14" authorId="0">
      <text>
        <r>
          <rPr>
            <b/>
            <sz val="9"/>
            <rFont val="Tahoma"/>
            <family val="2"/>
          </rPr>
          <t>Alexander Luna Mejía:</t>
        </r>
        <r>
          <rPr>
            <sz val="9"/>
            <rFont val="Tahoma"/>
            <family val="2"/>
          </rPr>
          <t xml:space="preserve">
Precio Contratista
</t>
        </r>
      </text>
    </comment>
  </commentList>
</comments>
</file>

<file path=xl/sharedStrings.xml><?xml version="1.0" encoding="utf-8"?>
<sst xmlns="http://schemas.openxmlformats.org/spreadsheetml/2006/main" count="2448" uniqueCount="1144">
  <si>
    <t>Herramientas</t>
  </si>
  <si>
    <t>AYUDANTE</t>
  </si>
  <si>
    <t>ARENA PARA ASIENTO DE TUBERIA</t>
  </si>
  <si>
    <t>CARPINTERO</t>
  </si>
  <si>
    <t>CARPINTERO DE 2DA.</t>
  </si>
  <si>
    <t>ROLLO DE ALAMBRE</t>
  </si>
  <si>
    <t>Agregados</t>
  </si>
  <si>
    <t>POSTE DE ALAMBRADA DE MADERA</t>
  </si>
  <si>
    <t>AGUARRAS</t>
  </si>
  <si>
    <t>KEROSENE</t>
  </si>
  <si>
    <t>Transporte</t>
  </si>
  <si>
    <t>Cemento</t>
  </si>
  <si>
    <t>Arena</t>
  </si>
  <si>
    <t>Madera</t>
  </si>
  <si>
    <t>SECCIONISTA DE TOPOGRAFIA</t>
  </si>
  <si>
    <t>TUBO 2" PVC SDR-26</t>
  </si>
  <si>
    <t>ZINC CALIBRE 32</t>
  </si>
  <si>
    <t>PINTURA REFLEXIVA</t>
  </si>
  <si>
    <t>TUBO 6" PVC SDR-26 (19')</t>
  </si>
  <si>
    <t>TUBO 4" PVC SDR-26 (19')</t>
  </si>
  <si>
    <t>SACOS</t>
  </si>
  <si>
    <t>TUBO 3" PVC SDR-26</t>
  </si>
  <si>
    <t>CEMENTO SOLVENTE</t>
  </si>
  <si>
    <t>HORMIGON INDUSTRIAL 280 KG/CM2 (CLASE A), INCL. BOMBEO</t>
  </si>
  <si>
    <t>BARANDA METALICA (BARRA)</t>
  </si>
  <si>
    <t>FDA</t>
  </si>
  <si>
    <t xml:space="preserve">TUBOS DE HORM. 48´´ CLASE III  </t>
  </si>
  <si>
    <t xml:space="preserve">TUBOS DE HORM. 60´´ CLASE III  </t>
  </si>
  <si>
    <t xml:space="preserve">EQUIPOS </t>
  </si>
  <si>
    <t>ALQUILER +ITBIS</t>
  </si>
  <si>
    <t xml:space="preserve">TRACTORES </t>
  </si>
  <si>
    <t>D9L - CAT</t>
  </si>
  <si>
    <t>"</t>
  </si>
  <si>
    <t>D9H - CAT</t>
  </si>
  <si>
    <t>D8R</t>
  </si>
  <si>
    <t>D8L - CAT</t>
  </si>
  <si>
    <t>D8K - CAT</t>
  </si>
  <si>
    <t xml:space="preserve">D8H46A - CAT </t>
  </si>
  <si>
    <t xml:space="preserve">D8H36A - CAT </t>
  </si>
  <si>
    <t>D85 - A -KOM</t>
  </si>
  <si>
    <t>D7G - CAT</t>
  </si>
  <si>
    <t>D7F - CAT</t>
  </si>
  <si>
    <t>D7E - CAT</t>
  </si>
  <si>
    <t>D65D - A -KOM</t>
  </si>
  <si>
    <t>D6D</t>
  </si>
  <si>
    <t>D6C - CAT</t>
  </si>
  <si>
    <t>D60 - A -KOM</t>
  </si>
  <si>
    <t>D5B - CAT</t>
  </si>
  <si>
    <t>D4E - CAT</t>
  </si>
  <si>
    <t>MOTONIVELADORA</t>
  </si>
  <si>
    <t>140H</t>
  </si>
  <si>
    <t>12H</t>
  </si>
  <si>
    <t>12OG-CAT</t>
  </si>
  <si>
    <t>12E--CAT</t>
  </si>
  <si>
    <t>14G</t>
  </si>
  <si>
    <t>16G</t>
  </si>
  <si>
    <t>320B</t>
  </si>
  <si>
    <t>365B-L</t>
  </si>
  <si>
    <t>COMPACTADORES Y RODILLO ESTATICOS</t>
  </si>
  <si>
    <t>825C-CAT</t>
  </si>
  <si>
    <t>RODILLO VIBRADORES</t>
  </si>
  <si>
    <t>600-RAI</t>
  </si>
  <si>
    <t>CA-25-DINAPAC</t>
  </si>
  <si>
    <t>VDS-84-GALION</t>
  </si>
  <si>
    <t>SD-100-ING</t>
  </si>
  <si>
    <t>966G-CAT</t>
  </si>
  <si>
    <t>966F</t>
  </si>
  <si>
    <t>960F</t>
  </si>
  <si>
    <t>966-D</t>
  </si>
  <si>
    <t>936E</t>
  </si>
  <si>
    <t>510-CAT</t>
  </si>
  <si>
    <t xml:space="preserve">MINICARGADOR </t>
  </si>
  <si>
    <t>INGENIERO DIRECTOR PROYECTO</t>
  </si>
  <si>
    <t>ESTACION TOTAL</t>
  </si>
  <si>
    <t>BARREDORA</t>
  </si>
  <si>
    <t>MINICARGADOR</t>
  </si>
  <si>
    <t>DISTRIBUIDOR</t>
  </si>
  <si>
    <t>P2/M3</t>
  </si>
  <si>
    <t>OBREROS</t>
  </si>
  <si>
    <t>MANO DE OBRA ACERO</t>
  </si>
  <si>
    <t>CEMENTO</t>
  </si>
  <si>
    <t>ALBAÑIL</t>
  </si>
  <si>
    <t>AGUA</t>
  </si>
  <si>
    <t>CAMION DE AGUA</t>
  </si>
  <si>
    <t>COMPACTADOR MANUAL</t>
  </si>
  <si>
    <t xml:space="preserve">SUB-TOTAL </t>
  </si>
  <si>
    <t>DESCRIPCION</t>
  </si>
  <si>
    <t>U</t>
  </si>
  <si>
    <t>QQ</t>
  </si>
  <si>
    <t>ROLLO</t>
  </si>
  <si>
    <t>CLAVO</t>
  </si>
  <si>
    <t>LB</t>
  </si>
  <si>
    <t>ML</t>
  </si>
  <si>
    <t xml:space="preserve">TUBOS DE HORM. 30´´ CLASE III  </t>
  </si>
  <si>
    <t xml:space="preserve">TUBOS DE HORM. 36´´ CLASE III  </t>
  </si>
  <si>
    <t xml:space="preserve">TUBOS DE HORM. 42´´ CLASE III  </t>
  </si>
  <si>
    <t>GL</t>
  </si>
  <si>
    <t>GAVION</t>
  </si>
  <si>
    <t>M3</t>
  </si>
  <si>
    <t>PERNOS</t>
  </si>
  <si>
    <t>UD</t>
  </si>
  <si>
    <t>PA</t>
  </si>
  <si>
    <t>SAL/ MES</t>
  </si>
  <si>
    <t>CARGA SOCIAL</t>
  </si>
  <si>
    <t>INGENIERO RESIDENTE</t>
  </si>
  <si>
    <t>MES</t>
  </si>
  <si>
    <t>TOPOGRAFO (TS)</t>
  </si>
  <si>
    <t>PORTAMIRA</t>
  </si>
  <si>
    <t>GUARDA ALMACEN</t>
  </si>
  <si>
    <t>ENC. COMBUSTIBLE</t>
  </si>
  <si>
    <t>MENSAJERO</t>
  </si>
  <si>
    <t>CHOFER</t>
  </si>
  <si>
    <t>SECRETARIA</t>
  </si>
  <si>
    <t>ASIST. ADMINISTRATIVO</t>
  </si>
  <si>
    <t>CAPATAZ DE ASFALTO</t>
  </si>
  <si>
    <t>INGENIERO ASFALTO</t>
  </si>
  <si>
    <t>MANO DE OBRA MADERA</t>
  </si>
  <si>
    <t>MANO DE OBRA  ACERAS</t>
  </si>
  <si>
    <t>MANO DE OBRA CONTENES</t>
  </si>
  <si>
    <t>MANO DE OBRA BADENES</t>
  </si>
  <si>
    <t>MANO DE OBRA TELFORD</t>
  </si>
  <si>
    <t>MANO DE OBRA CABEZALES</t>
  </si>
  <si>
    <t>MANO DE OBRA HORMIGON CICLOPEO</t>
  </si>
  <si>
    <t>MODELOS</t>
  </si>
  <si>
    <t>ALQUILER</t>
  </si>
  <si>
    <t>D155A KOM</t>
  </si>
  <si>
    <t>TD-15C-INT</t>
  </si>
  <si>
    <t>12G-CAT</t>
  </si>
  <si>
    <t>GD-37-KOM</t>
  </si>
  <si>
    <t>12F-CAT</t>
  </si>
  <si>
    <t>12-8T-CAT</t>
  </si>
  <si>
    <t>RETROEXCAVADORAS</t>
  </si>
  <si>
    <t>235-CAT</t>
  </si>
  <si>
    <t>225-CAT</t>
  </si>
  <si>
    <t>MOTOTRAILLAS</t>
  </si>
  <si>
    <t>631D-CAT</t>
  </si>
  <si>
    <t>631B-CAT</t>
  </si>
  <si>
    <t>621-CAT</t>
  </si>
  <si>
    <t>DW-21-CAT</t>
  </si>
  <si>
    <t>815-CAT</t>
  </si>
  <si>
    <t>DW-20A-CAT</t>
  </si>
  <si>
    <t>CAT-45-BUF</t>
  </si>
  <si>
    <t>CARGADORES</t>
  </si>
  <si>
    <t>988B-CAT</t>
  </si>
  <si>
    <t>980C-CAT</t>
  </si>
  <si>
    <t>980-CAT</t>
  </si>
  <si>
    <t>966C-CAT</t>
  </si>
  <si>
    <t>CARGADORES FRONTALES</t>
  </si>
  <si>
    <t>60C-TEREX</t>
  </si>
  <si>
    <t>530-INTER</t>
  </si>
  <si>
    <t>950B-CAT</t>
  </si>
  <si>
    <t>950-CAT</t>
  </si>
  <si>
    <t>W70-KOM</t>
  </si>
  <si>
    <t>930-CAT</t>
  </si>
  <si>
    <t>920-CAT</t>
  </si>
  <si>
    <t>CARGADORES DE ORUGA</t>
  </si>
  <si>
    <t>D755-KOM</t>
  </si>
  <si>
    <t>977L-CAT</t>
  </si>
  <si>
    <t>955L-CAT</t>
  </si>
  <si>
    <t>955K-CAT</t>
  </si>
  <si>
    <t>Gls</t>
  </si>
  <si>
    <t>DERECHO DE MINA</t>
  </si>
  <si>
    <t>Km</t>
  </si>
  <si>
    <t>CADENERO</t>
  </si>
  <si>
    <t>M3C</t>
  </si>
  <si>
    <t>P.A</t>
  </si>
  <si>
    <t>No.</t>
  </si>
  <si>
    <t>M2</t>
  </si>
  <si>
    <t>Ud</t>
  </si>
  <si>
    <t>M3E</t>
  </si>
  <si>
    <t>INGENIERO ASISTENTE</t>
  </si>
  <si>
    <t>Dia</t>
  </si>
  <si>
    <t>DIA</t>
  </si>
  <si>
    <t>PORTAPRISMA</t>
  </si>
  <si>
    <t>P2</t>
  </si>
  <si>
    <t xml:space="preserve">CAMION </t>
  </si>
  <si>
    <t>CAMIONETA</t>
  </si>
  <si>
    <t>VIATICO</t>
  </si>
  <si>
    <t>PIEDRA GAVION</t>
  </si>
  <si>
    <t>MANO OBRA MADERA ALC CAJON</t>
  </si>
  <si>
    <t>Agua</t>
  </si>
  <si>
    <t>Mano de Obra</t>
  </si>
  <si>
    <t>Clavos</t>
  </si>
  <si>
    <t>Agregado</t>
  </si>
  <si>
    <t>PINTURA DE TRAFICO</t>
  </si>
  <si>
    <t>RELACION COSTO/HR ALQUILER EQUIPOS</t>
  </si>
  <si>
    <t>Costo Consumo Lubricantes=20% Costo Consumo Combustible</t>
  </si>
  <si>
    <t xml:space="preserve">LUBRICAN- TES </t>
  </si>
  <si>
    <t>COSTO                                    RD$/Hr</t>
  </si>
  <si>
    <t>POTENCIA (HP)</t>
  </si>
  <si>
    <r>
      <t xml:space="preserve">Costo Consumo Combustible=4% Potencia </t>
    </r>
    <r>
      <rPr>
        <b/>
        <vertAlign val="subscript"/>
        <sz val="8"/>
        <rFont val="Lucida Sans Unicode"/>
        <family val="2"/>
      </rPr>
      <t xml:space="preserve">Equipo </t>
    </r>
    <r>
      <rPr>
        <b/>
        <sz val="8"/>
        <rFont val="Lucida Sans Unicode"/>
        <family val="2"/>
      </rPr>
      <t>x Costo Combustile</t>
    </r>
  </si>
  <si>
    <t xml:space="preserve">Costo Combustible: </t>
  </si>
  <si>
    <t xml:space="preserve">Nota: Los costos de alquiler de equipos incluyen operador </t>
  </si>
  <si>
    <t>COSTO/MES</t>
  </si>
  <si>
    <t>COSTO/DIA</t>
  </si>
  <si>
    <t>COSTO/HR</t>
  </si>
  <si>
    <t>TRANSPORTE TRAILER A   ( ENTREGA Y RETORNO)</t>
  </si>
  <si>
    <t xml:space="preserve">COMBUSTI-BLE </t>
  </si>
  <si>
    <t>MANO DE OBRA DE SOLDADOR</t>
  </si>
  <si>
    <t>CAPATAZ (maestro de la diferente areas)</t>
  </si>
  <si>
    <t>CORTADORA DE ASFALTO</t>
  </si>
  <si>
    <t>Tasa del dólar:</t>
  </si>
  <si>
    <t>FRESADORA</t>
  </si>
  <si>
    <t>GLAS GRID</t>
  </si>
  <si>
    <t>ELECTRICISTA</t>
  </si>
  <si>
    <t>GRUA</t>
  </si>
  <si>
    <t>PATANA</t>
  </si>
  <si>
    <t>PATANA (Viaje)</t>
  </si>
  <si>
    <t>TUBO DE HORMIGON DE 24" X 1.10 C-V</t>
  </si>
  <si>
    <t>TUBOS DE HORM. 30´´ CLASE V</t>
  </si>
  <si>
    <t xml:space="preserve">TUBOS DE HORM. 36´´ CLASE V </t>
  </si>
  <si>
    <t>TUBOS DE HORM. 42´´ CLASE V</t>
  </si>
  <si>
    <t>TUBOS DE HORM. 48´´ CLASE V</t>
  </si>
  <si>
    <t xml:space="preserve">TUBOS DE HORM. 60´´ CLASE V </t>
  </si>
  <si>
    <t>TUBOS DE HORM. 66´´ CLASE V</t>
  </si>
  <si>
    <t>TUBOS DE HORM. 72´´ CLASE V</t>
  </si>
  <si>
    <t>TRABAJADOR CALIFICADO</t>
  </si>
  <si>
    <t>PLAYWOOD</t>
  </si>
  <si>
    <t>PCHA</t>
  </si>
  <si>
    <t>MANO DE OBRA ENCACHES</t>
  </si>
  <si>
    <t>POSTE</t>
  </si>
  <si>
    <t>COLA DE PEZ</t>
  </si>
  <si>
    <t>SEPARADORES</t>
  </si>
  <si>
    <t>TORNILLOS</t>
  </si>
  <si>
    <t>Rodillo de Mano</t>
  </si>
  <si>
    <t>Excavacion a mano</t>
  </si>
  <si>
    <t xml:space="preserve">TUBOS DE HORM. 66´´ CLASE III  </t>
  </si>
  <si>
    <t xml:space="preserve">TUBOS DE HORM. 72´´ CLASE III  </t>
  </si>
  <si>
    <t>TUBO 2" DE PRESION SDR  21C/JG</t>
  </si>
  <si>
    <t>TUBO 3" DE PRESION SDR  21C/JG</t>
  </si>
  <si>
    <t>TUBO 8" DE PRESION SDR - 26 C/JG</t>
  </si>
  <si>
    <t xml:space="preserve">ARENA LAVADA GRUESA </t>
  </si>
  <si>
    <t xml:space="preserve">GRAVA ARENA    </t>
  </si>
  <si>
    <t xml:space="preserve">GRAVA DE 1/4" </t>
  </si>
  <si>
    <t xml:space="preserve">GRAVA DE 1 1/2" </t>
  </si>
  <si>
    <t>ROCA DE VOLADURA (CLASIFICADA PARA GAVIONES )</t>
  </si>
  <si>
    <t>ARENA SECA (POLVILLO)</t>
  </si>
  <si>
    <t>ARENA TRITURADA Y LAVADA</t>
  </si>
  <si>
    <t>GRAVA DE 3/8" A 3/4"</t>
  </si>
  <si>
    <t>ELABORACION ASFALTO</t>
  </si>
  <si>
    <t xml:space="preserve"> RELLENO NATURAL </t>
  </si>
  <si>
    <t xml:space="preserve"> RELLENO TIPO A </t>
  </si>
  <si>
    <t xml:space="preserve"> RELLENO PLANTA</t>
  </si>
  <si>
    <t xml:space="preserve"> RELLENO-MINA </t>
  </si>
  <si>
    <t>MARCO Y TAPA METALICA PARA IMBORNAL Y FILTRANTE</t>
  </si>
  <si>
    <t>MARCO Y TAPA METALICAPARA IMBORNAL SIN FILTRANTE</t>
  </si>
  <si>
    <t>MARCO Y REGILLA METALICA PARA IMBORNAL</t>
  </si>
  <si>
    <t xml:space="preserve">PIEDRA ENCACHE </t>
  </si>
  <si>
    <t>TRAILERS OFICINA 8`  X 40`</t>
  </si>
  <si>
    <t>GRAPA</t>
  </si>
  <si>
    <t>ITEBIS: 18%</t>
  </si>
  <si>
    <t>CANT.</t>
  </si>
  <si>
    <t>COSTO MENSUAL</t>
  </si>
  <si>
    <t>COSTO DIARIO</t>
  </si>
  <si>
    <t>COSTO HORARIO</t>
  </si>
  <si>
    <t>HP</t>
  </si>
  <si>
    <t>Gl comb.</t>
  </si>
  <si>
    <t>Costo/Hr sin comb.</t>
  </si>
  <si>
    <t>Costo sin comb.</t>
  </si>
  <si>
    <t>%</t>
  </si>
  <si>
    <t>HORMIGON INDUSTRIAL 100 KG/CM2</t>
  </si>
  <si>
    <t>HORMIGON INDUSTRIAL 140 KG/CM2</t>
  </si>
  <si>
    <t>HORMIGON INDUSTRIAL 160 KG/CM2</t>
  </si>
  <si>
    <t>HORMIGON INDUSTRIAL 180 KG/CM2</t>
  </si>
  <si>
    <t>RD$ 96/M2</t>
  </si>
  <si>
    <t>MALLA GLASGRID</t>
  </si>
  <si>
    <t>CARRETILLA TIPO JEEP (BELLOYA)</t>
  </si>
  <si>
    <t>PALAS CUADRADAS</t>
  </si>
  <si>
    <t>TANQUE DE AGUA</t>
  </si>
  <si>
    <t>COUPLING 3/4"</t>
  </si>
  <si>
    <t>CLAMP 4" CON SALIDA DE 3/4"</t>
  </si>
  <si>
    <t>CODO 3/4"</t>
  </si>
  <si>
    <t>TAPON</t>
  </si>
  <si>
    <t>ADAPTADOR 3/4" PVC</t>
  </si>
  <si>
    <t>TORRE DE LUZ TOR-1</t>
  </si>
  <si>
    <t>BOMBA AGUA 4"</t>
  </si>
  <si>
    <t>BOMBA AGUA 6"</t>
  </si>
  <si>
    <t>PLANTA ELECTRICA 5.5 KW (INCLUYE TRANSPORTE)</t>
  </si>
  <si>
    <t>HORMIGON INDUSTRIAL 210 KG/CM2</t>
  </si>
  <si>
    <t>HORMIGON INDUSTRIAL 240 KG/CM2</t>
  </si>
  <si>
    <t>HORMIGON INDUSTRIAL 250 KG/CM2</t>
  </si>
  <si>
    <t>HORMIGON INDUSTRIAL 260 KG/CM2</t>
  </si>
  <si>
    <t>HORMIGON INDUSTRIAL 300 KG/CM2</t>
  </si>
  <si>
    <t>HORMIGON INDUSTRIAL 315 KG/CM2</t>
  </si>
  <si>
    <t>HORMIGON INDUSTRIAL 350 KG/CM2</t>
  </si>
  <si>
    <t>HORMIGON INDUSTRIAL 400 KG/CM2</t>
  </si>
  <si>
    <t>HORMIGON INDUSTRIAL 450 KG/CM2</t>
  </si>
  <si>
    <t>HORMIGON INDUSTRIAL 500KG/CM2</t>
  </si>
  <si>
    <t>TUBO DE HORMIGON DE 8" x 1" C-14</t>
  </si>
  <si>
    <t>TUBO DE HORMIGON DE 12" X 1 C-14</t>
  </si>
  <si>
    <t>TUBO DE HORMIGON DE 15" X 3` C-14</t>
  </si>
  <si>
    <t>TUBO DE HORMIGON DE 24" X 1.10 C-III</t>
  </si>
  <si>
    <t>Fdas.</t>
  </si>
  <si>
    <t>Acero</t>
  </si>
  <si>
    <t>Vibrado</t>
  </si>
  <si>
    <t>Angulares de 4" x 4" x 3/8" de 20`</t>
  </si>
  <si>
    <t>FDAS</t>
  </si>
  <si>
    <t>IMBORNAL TIPO III</t>
  </si>
  <si>
    <t>Seccion 4.00 x 1.80 x 1.50</t>
  </si>
  <si>
    <t>H.S  en losa de fondo</t>
  </si>
  <si>
    <t>Volumen = 3.70x1.44x0.12</t>
  </si>
  <si>
    <t>gls</t>
  </si>
  <si>
    <t>ligado y vaciado</t>
  </si>
  <si>
    <t>Costo /M3=</t>
  </si>
  <si>
    <t>H.A en losa de techo</t>
  </si>
  <si>
    <t>Volumen=3.7x1.60x0.12</t>
  </si>
  <si>
    <t>H.S. En losa de techo</t>
  </si>
  <si>
    <t>qq</t>
  </si>
  <si>
    <t>Mano de obra acero</t>
  </si>
  <si>
    <t>Sumatoria 1</t>
  </si>
  <si>
    <t xml:space="preserve"> costo/m3 </t>
  </si>
  <si>
    <t>Muro de bloques de 6", camara llena</t>
  </si>
  <si>
    <t>Bloques</t>
  </si>
  <si>
    <t>Suministro de bloques</t>
  </si>
  <si>
    <t>U.D</t>
  </si>
  <si>
    <t>M.O colocaciod bloques</t>
  </si>
  <si>
    <t>Mortero en juntas</t>
  </si>
  <si>
    <t>m3/m2</t>
  </si>
  <si>
    <t>Hormigon en camara 1:3:5</t>
  </si>
  <si>
    <t>Acero en cámara</t>
  </si>
  <si>
    <t>Llenado en cámara</t>
  </si>
  <si>
    <t>ud</t>
  </si>
  <si>
    <t>M.O acero en cámara</t>
  </si>
  <si>
    <t>costo/m2</t>
  </si>
  <si>
    <t>Analisis 1 M2 pañete</t>
  </si>
  <si>
    <t>MORTERO 1:4</t>
  </si>
  <si>
    <t>Arena fina</t>
  </si>
  <si>
    <t xml:space="preserve">Cemento </t>
  </si>
  <si>
    <t>Cal(30 LIB)</t>
  </si>
  <si>
    <t>fds</t>
  </si>
  <si>
    <t>Costo +5%desp.</t>
  </si>
  <si>
    <t>Resumen 1m2 pañete</t>
  </si>
  <si>
    <t>mortero 1:1:4</t>
  </si>
  <si>
    <t>MO pañete</t>
  </si>
  <si>
    <t>Regla</t>
  </si>
  <si>
    <t>costo/m2+5%desp</t>
  </si>
  <si>
    <t>Mortero en junta</t>
  </si>
  <si>
    <t>Mortero 1:3</t>
  </si>
  <si>
    <t>costo mortero /m3</t>
  </si>
  <si>
    <t>RESUMEN ANALISIS IMBORNALTIPO III</t>
  </si>
  <si>
    <t>Relleno compactado a mano</t>
  </si>
  <si>
    <t>Bote de material excavado</t>
  </si>
  <si>
    <t>Hormigón losa fondo</t>
  </si>
  <si>
    <t>Hormigón Armado losa techo</t>
  </si>
  <si>
    <t>Bloque de 6" Cámara llena</t>
  </si>
  <si>
    <t>Pañete pulido</t>
  </si>
  <si>
    <t>Parrilla (incluye sumin. Y coloc.)</t>
  </si>
  <si>
    <t>Tapa de H.F.</t>
  </si>
  <si>
    <t>Mano de obra</t>
  </si>
  <si>
    <t>Reposición Acera</t>
  </si>
  <si>
    <t xml:space="preserve">Conexion a filtrante </t>
  </si>
  <si>
    <t>Costo Total=</t>
  </si>
  <si>
    <t>IMBORNAL TIPO II</t>
  </si>
  <si>
    <t>Seccion 3.20 x 1.80 x 1.50</t>
  </si>
  <si>
    <t>Volumen = 2.90x1.44x0.12</t>
  </si>
  <si>
    <t>ligado y vaciado con ligadora</t>
  </si>
  <si>
    <t>Volumen=2.9x1.60x0.12</t>
  </si>
  <si>
    <t>Cal(30 lib)</t>
  </si>
  <si>
    <t>RESUMEN ANALISIS IMBORNAL</t>
  </si>
  <si>
    <t>RESUMEN ANALISIS IMBORNAL TIPO I(seccion 2*1.5*1.5 )mts</t>
  </si>
  <si>
    <t>Excavacion material</t>
  </si>
  <si>
    <t>IMBORNAL TIPO II (ligado a mano)</t>
  </si>
  <si>
    <t>ligado y vaciado(1/2 dia peon ayudante)</t>
  </si>
  <si>
    <t>lbs</t>
  </si>
  <si>
    <t>RESUMEN ANALISIS IMBORNAL TIPO I (2*1.5*1.5)mts</t>
  </si>
  <si>
    <t>PARAGOMAS</t>
  </si>
  <si>
    <t>SUMINISTRO  PARAGOMAS +16%</t>
  </si>
  <si>
    <t>TRANSPORTE 10%</t>
  </si>
  <si>
    <t>TORNILLO PARA FIJACION</t>
  </si>
  <si>
    <t>HERRAMINETAS (5% MO)</t>
  </si>
  <si>
    <t>MANO OBRA COLOCACION</t>
  </si>
  <si>
    <t>USO DE TALADRO PARA FIJACION</t>
  </si>
  <si>
    <t>COSTO/UD</t>
  </si>
  <si>
    <t>LIMPIEZA DE COLECTORES Y REHABILITACION (INCLUYE  BOTE)</t>
  </si>
  <si>
    <t>BRIGADA</t>
  </si>
  <si>
    <t xml:space="preserve"> Peones </t>
  </si>
  <si>
    <t>Pers/DIA</t>
  </si>
  <si>
    <t xml:space="preserve">1 Capataz </t>
  </si>
  <si>
    <t>costo/Día</t>
  </si>
  <si>
    <t>Rend. 1 UD/Día</t>
  </si>
  <si>
    <t xml:space="preserve"> COSTO/UD</t>
  </si>
  <si>
    <t>BOTE A MANO</t>
  </si>
  <si>
    <t>CAMION DE 6 M3 =144.5 /m3*8.64M3</t>
  </si>
  <si>
    <t>COSTO/M3</t>
  </si>
  <si>
    <t>IMBORNAL (dos camaras llenas acero 3/8" a 0.20 m)</t>
  </si>
  <si>
    <t>Seccion 4.15 x 1.80 x 1.70</t>
  </si>
  <si>
    <t>H.A  en losa de fondo</t>
  </si>
  <si>
    <t>acero 1/2" a 0.20 A.D.</t>
  </si>
  <si>
    <t>H.S en losa fondo</t>
  </si>
  <si>
    <t>acero de 1/2" a .0.20 A. D</t>
  </si>
  <si>
    <t>Muro de bloques de 6", camara llena acero 3/8" a 0.20 M</t>
  </si>
  <si>
    <t>Viga amarre 0.2*0.15 M acero 4 Ø 1/2" y estribo 3/8" a 0.25 m</t>
  </si>
  <si>
    <t>Hormigón 1:3:5</t>
  </si>
  <si>
    <t>Acero D1/2"</t>
  </si>
  <si>
    <t>Acero D3/8"</t>
  </si>
  <si>
    <t>Mano obra acero</t>
  </si>
  <si>
    <t>lib</t>
  </si>
  <si>
    <t>Madera a todo costo</t>
  </si>
  <si>
    <t>ml</t>
  </si>
  <si>
    <t>total/m3</t>
  </si>
  <si>
    <t>Hormigón losa fondoESP 0.15 M</t>
  </si>
  <si>
    <t>viga amarre 0.5*0.2 M</t>
  </si>
  <si>
    <t>m3</t>
  </si>
  <si>
    <t>PINTURA PUENTE</t>
  </si>
  <si>
    <t>pintura trafico</t>
  </si>
  <si>
    <t>materiales diversos ( lijas masillas, piedras)</t>
  </si>
  <si>
    <t>mo pintura Ira mano</t>
  </si>
  <si>
    <t>mo pintura 2da mano</t>
  </si>
  <si>
    <t>Adoquines</t>
  </si>
  <si>
    <t>arena gruesa ITABO (de mina)</t>
  </si>
  <si>
    <t>adoquín colonial exagonal rojo</t>
  </si>
  <si>
    <t>madera pino americano bruta</t>
  </si>
  <si>
    <t>regado, nivelado y apisonado de relleno</t>
  </si>
  <si>
    <t>colocación de adoquines coloniales 2x4x8" gris</t>
  </si>
  <si>
    <t>COSTO/M2</t>
  </si>
  <si>
    <t>REGISTRO SANITARIO DE LADRILLOS:</t>
  </si>
  <si>
    <t>de 2.0 a 3.0</t>
  </si>
  <si>
    <t>CANT</t>
  </si>
  <si>
    <t>PU</t>
  </si>
  <si>
    <t>VALOR</t>
  </si>
  <si>
    <t>Movimiento de Tierra:</t>
  </si>
  <si>
    <t>Excavación en tierra</t>
  </si>
  <si>
    <t>Relleno Compactado</t>
  </si>
  <si>
    <t>Bote Material</t>
  </si>
  <si>
    <t>Ladrillos 2" x 4" x 8"</t>
  </si>
  <si>
    <t>Base de H.S.</t>
  </si>
  <si>
    <t>Fino de Fondo</t>
  </si>
  <si>
    <t>Tapa de H.F. Pesada</t>
  </si>
  <si>
    <t>Media Caña</t>
  </si>
  <si>
    <t>resane</t>
  </si>
  <si>
    <t>Costo/ud</t>
  </si>
  <si>
    <t>Analisis fino de fondo(m2)</t>
  </si>
  <si>
    <t>Lligado y vaciado con ligadora</t>
  </si>
  <si>
    <t>costo mortero /m3+5%</t>
  </si>
  <si>
    <t>mortero 1:1:3</t>
  </si>
  <si>
    <t>mano de obra</t>
  </si>
  <si>
    <t>bajada 0.05m3</t>
  </si>
  <si>
    <t>regla</t>
  </si>
  <si>
    <t>p2/m2</t>
  </si>
  <si>
    <t>desperdicio</t>
  </si>
  <si>
    <t>BASE DE HORMIGON SIPLE</t>
  </si>
  <si>
    <t>Descrip.</t>
  </si>
  <si>
    <t>Unidad</t>
  </si>
  <si>
    <t>Valor</t>
  </si>
  <si>
    <t>MANO  DE  OBRA</t>
  </si>
  <si>
    <t>H.S.</t>
  </si>
  <si>
    <t>BARANDA METALICA</t>
  </si>
  <si>
    <t>Suministro de tubo 11/2" HG</t>
  </si>
  <si>
    <t>fijador, oxido rojo y pintura</t>
  </si>
  <si>
    <t>pa</t>
  </si>
  <si>
    <t>confeccion y colocacion</t>
  </si>
  <si>
    <t>personal</t>
  </si>
  <si>
    <t>pers</t>
  </si>
  <si>
    <t>herrramientas (5%)</t>
  </si>
  <si>
    <t>rind= 0.50/dia</t>
  </si>
  <si>
    <t>costo/ud</t>
  </si>
  <si>
    <t>costo total /ud</t>
  </si>
  <si>
    <t>longitud considerada = 9.70 ml</t>
  </si>
  <si>
    <t>costo/ml</t>
  </si>
  <si>
    <t>costo/pie</t>
  </si>
  <si>
    <t>suministro y colocacion tuberia de Ø 3/4" pvc SCH 40</t>
  </si>
  <si>
    <t>suministro tuboØ3/4" pvc</t>
  </si>
  <si>
    <t>colocacion tubo</t>
  </si>
  <si>
    <t>transporte tubo</t>
  </si>
  <si>
    <t>suministro y colocacion tuberia de Ø 1/2" pvc SCH 40</t>
  </si>
  <si>
    <t>suministro tuboØ1/2" pvc</t>
  </si>
  <si>
    <t>suministro y colocacion tuberia de Ø 1" pvc SCH 40</t>
  </si>
  <si>
    <t>suministro tuboØ1" pvc</t>
  </si>
  <si>
    <t>suministro y colocacion tuberia de Ø 11/2" pvc SCH 40</t>
  </si>
  <si>
    <t>suministro tuboØ11/2" pvc</t>
  </si>
  <si>
    <t>suministro y colocacion tuberia de Ø 2" pvc SCH 40</t>
  </si>
  <si>
    <t>suministro tuboØ2" pvc</t>
  </si>
  <si>
    <t>suministro y colocacion tuberia de Ø 3" pvc SCH 40</t>
  </si>
  <si>
    <t>replanteo</t>
  </si>
  <si>
    <t>suministro tuboØ3" pvc</t>
  </si>
  <si>
    <t>suministro y colocacion tuberia de Ø 4" pvc SCH 40</t>
  </si>
  <si>
    <t>suministro tubo Ø4" pvc</t>
  </si>
  <si>
    <t>suministro y colocacion tuberia de Ø 6" pvc SCH 40</t>
  </si>
  <si>
    <t>suministro tuboØ6" pvc</t>
  </si>
  <si>
    <t>AGUA RESIDUAL</t>
  </si>
  <si>
    <t>1- Excavacion mat. No clasif. Hprom=0.80 mts</t>
  </si>
  <si>
    <t>2-Relleno Compactado</t>
  </si>
  <si>
    <t>3-Sum. Y col. Asiento arena e=0.10 m</t>
  </si>
  <si>
    <t>4-Bote material</t>
  </si>
  <si>
    <t>5-Tubería 4"PVC SDR41</t>
  </si>
  <si>
    <t>6-Tee de 4" x 8" SDR-41</t>
  </si>
  <si>
    <t>7- codo de 4"x 45°</t>
  </si>
  <si>
    <t>8- Tapon de 4"</t>
  </si>
  <si>
    <t>9-colocacion tuberias y piezas</t>
  </si>
  <si>
    <t>10-material de juntas</t>
  </si>
  <si>
    <t>costo /ud</t>
  </si>
  <si>
    <t>suministro y colocacion tuberia de Ø 8" pvc SCH 40</t>
  </si>
  <si>
    <t>suministro tuboØ8" pvc</t>
  </si>
  <si>
    <t>suministro y colocacion tuberia de Ø 12" pvc SCH 40</t>
  </si>
  <si>
    <t>suministro tuboØ12" pvc</t>
  </si>
  <si>
    <t>CORTE CON SIERRA EN LATERALES DE ASFALTO</t>
  </si>
  <si>
    <t>CORTADORA  HORIZONTAL DE ASFALTO HONDA, DE  GASOLINA DE 13 HP</t>
  </si>
  <si>
    <t>DISCO 14¨Y PROFUNDIDAD DE CORTE  5¨, PESO  EQUIPO 285 LB</t>
  </si>
  <si>
    <t>COSTO ALQUILER (1 DIAS)=US$ 64.80/8 horas* RD$35.50/US$</t>
  </si>
  <si>
    <t xml:space="preserve">ITBIS=16% DE </t>
  </si>
  <si>
    <t>COMBUSTIBLE=0.04*(13 HP )(RD$120.0/GL)</t>
  </si>
  <si>
    <t xml:space="preserve">LUBRICANTE =0.2 DE </t>
  </si>
  <si>
    <t>OPERADOR= RD$11310.00/23.83/8</t>
  </si>
  <si>
    <t>DESGASTE DE DISCO= US$3.63/DIA /8 horas*RD$35.50/US$*2</t>
  </si>
  <si>
    <t>COSTO TOTAL /HORA</t>
  </si>
  <si>
    <t>REND=40 ML/DIA=5ML/HORA</t>
  </si>
  <si>
    <t>COSTO TOTAL/ML</t>
  </si>
  <si>
    <t>nota actualizado en fecha marzo 2009</t>
  </si>
  <si>
    <t>ANALISIS DE 1ML ESCALONES DE HORMIGON</t>
  </si>
  <si>
    <t>Asumo long=15.00 Ml</t>
  </si>
  <si>
    <t xml:space="preserve"> Mortero</t>
  </si>
  <si>
    <t>costo/m3</t>
  </si>
  <si>
    <t>Analisis escalón</t>
  </si>
  <si>
    <t>Formación de escalón H.S.</t>
  </si>
  <si>
    <t>Mortero de 1.5m3</t>
  </si>
  <si>
    <t>Madera bruta de pino</t>
  </si>
  <si>
    <t>p2</t>
  </si>
  <si>
    <t>Mano de obra escalón</t>
  </si>
  <si>
    <t>costo</t>
  </si>
  <si>
    <t>long=15ml</t>
  </si>
  <si>
    <t>costo /ml=</t>
  </si>
  <si>
    <t>FORMACION DE ESCALON HS (1:4)</t>
  </si>
  <si>
    <t>Cal</t>
  </si>
  <si>
    <t>PERFILADO A MANO</t>
  </si>
  <si>
    <t>PERSONAL DE TERMINACION</t>
  </si>
  <si>
    <t>DESCRIP.</t>
  </si>
  <si>
    <t xml:space="preserve"> HOMBRES </t>
  </si>
  <si>
    <t>Pers./Día</t>
  </si>
  <si>
    <t>CAPATAZ</t>
  </si>
  <si>
    <t>REND=80 M2/DIA</t>
  </si>
  <si>
    <t>NIVELACION DE TERRENO EN CANCHA A MANO(UTILIZANDO BRIGADA TOPOGRAFICA)</t>
  </si>
  <si>
    <t>BRIGADA TOPOGRAFICA</t>
  </si>
  <si>
    <t xml:space="preserve">COSTO BRIGADA  1 PA= </t>
  </si>
  <si>
    <t>area trabajada = 194.63m2</t>
  </si>
  <si>
    <t>PERSONAL DE NIVELACION</t>
  </si>
  <si>
    <t>REND=40 M2/DIA</t>
  </si>
  <si>
    <t xml:space="preserve">TRANSPORTE INTERNO MATERIAL </t>
  </si>
  <si>
    <t>PERSONAL</t>
  </si>
  <si>
    <t>PER</t>
  </si>
  <si>
    <t>HERRAMIENTAS</t>
  </si>
  <si>
    <t>COSTO/DIA=</t>
  </si>
  <si>
    <t>RINDE= 16 M3/DIA</t>
  </si>
  <si>
    <t>COSTO/M3=</t>
  </si>
  <si>
    <t>suministro y colocacion tuberia de Ø 4" pvc SDR-21</t>
  </si>
  <si>
    <t>suministro y colocacion tuberia de Ø 8" pvc SDR-26</t>
  </si>
  <si>
    <t>suministro y colocacion tuberia de Ø 12" pvc SDR-26</t>
  </si>
  <si>
    <t>PEDRAPLEN</t>
  </si>
  <si>
    <t>PIEDRA:</t>
  </si>
  <si>
    <t>SUMINISTRO DE PIEDRA</t>
  </si>
  <si>
    <t>PIEDRA/M3</t>
  </si>
  <si>
    <t xml:space="preserve">TRANSPORTE </t>
  </si>
  <si>
    <t xml:space="preserve">PERSONAL APOYO </t>
  </si>
  <si>
    <t>PERS/HORA</t>
  </si>
  <si>
    <t>REND 6 M3/HORA</t>
  </si>
  <si>
    <t>REMOCION DE PAVIMENTO RIGIDO (COMPRESOR)</t>
  </si>
  <si>
    <t>COMPRESOR DE DOS PISTOLAS</t>
  </si>
  <si>
    <t>Alquiler equipo mas pistola =US$151.20/dia /8 hora*RD$ 32.70/us$=</t>
  </si>
  <si>
    <t>Operador pistola= $766.80.00/dia/8horas/dia x 2 personas=</t>
  </si>
  <si>
    <t>Ayudante = 414.00/dia /8 horas/dia x2 personas=</t>
  </si>
  <si>
    <t>Sereno = 321.60/hora</t>
  </si>
  <si>
    <t>Combustible=0.80 gls/h x $100.00/gls x 1.10 x 2 pistolas=</t>
  </si>
  <si>
    <t xml:space="preserve">Amolador, material, piedra, etc.=$3.00/h x 2 pistolas </t>
  </si>
  <si>
    <t>COSTO/ HORA/PISTOLA</t>
  </si>
  <si>
    <t>REND = 1.2M3/H/PISTOLA</t>
  </si>
  <si>
    <t>REND 2  pistolas=2.4M3/H</t>
  </si>
  <si>
    <t>SIEMBRA DE CESPED PARA EVITAR EROSION DE TALUD</t>
  </si>
  <si>
    <t xml:space="preserve">SUMINISTRO DE GRAMA </t>
  </si>
  <si>
    <t>TRANSPORTE  A 5 KM</t>
  </si>
  <si>
    <t>COLOCACION GRAMA</t>
  </si>
  <si>
    <t xml:space="preserve">PERSONAL </t>
  </si>
  <si>
    <t>PERS</t>
  </si>
  <si>
    <t>RINDE = 50 M2/DIA</t>
  </si>
  <si>
    <t>RELLENO con Suministro Material de Mina</t>
  </si>
  <si>
    <t>M3c</t>
  </si>
  <si>
    <t>EQUIPOS:</t>
  </si>
  <si>
    <t>Compactador manual</t>
  </si>
  <si>
    <t>Hr.</t>
  </si>
  <si>
    <t xml:space="preserve">RENDIMIENTO: </t>
  </si>
  <si>
    <t>M3/Hr.</t>
  </si>
  <si>
    <t xml:space="preserve">% </t>
  </si>
  <si>
    <t>M. O.</t>
  </si>
  <si>
    <t>Sub-Total (1) Compactación Equipos</t>
  </si>
  <si>
    <t>MATERIALES:</t>
  </si>
  <si>
    <t>Suministro material de préstamo</t>
  </si>
  <si>
    <t>Sub-Total (2) Materiales</t>
  </si>
  <si>
    <t>MANO DE OBRA:</t>
  </si>
  <si>
    <t>Peones</t>
  </si>
  <si>
    <t>Sub-Total (3) Mano de Obra</t>
  </si>
  <si>
    <t>Costo Total
M3c</t>
  </si>
  <si>
    <t>RELLENO CON MACO (septiembre 2008)</t>
  </si>
  <si>
    <t>Costo alquiler /hora us$343/semana/5.5dias/sem*$34/us/8+16% itbis</t>
  </si>
  <si>
    <t>combustible 0.04 hp *$galon gasolina=0.04*4*164</t>
  </si>
  <si>
    <t>lubricante=0.20*combustible</t>
  </si>
  <si>
    <t>costo/hora</t>
  </si>
  <si>
    <t>Compactador Mack (maquito)=$/HORA</t>
  </si>
  <si>
    <t>rend= 4.38m3/h</t>
  </si>
  <si>
    <t>Factor equipos y herramientas = 3.5% M.O</t>
  </si>
  <si>
    <t xml:space="preserve">Operador maco </t>
  </si>
  <si>
    <t>Niveladores</t>
  </si>
  <si>
    <t>zabaleta en techo</t>
  </si>
  <si>
    <t>mezcla 1:3-A</t>
  </si>
  <si>
    <t>zabaletas en techos</t>
  </si>
  <si>
    <t>subida de mezcla 1:3 AL 2do. nivel</t>
  </si>
  <si>
    <t>COSTO/ML</t>
  </si>
  <si>
    <t>cemento gris</t>
  </si>
  <si>
    <t>Fds</t>
  </si>
  <si>
    <t>arena gruesa ITABO LAVADA (de PLANTA)</t>
  </si>
  <si>
    <t>agua</t>
  </si>
  <si>
    <t>RELLENO CON PIEDRA PARA ESTABILIZACION</t>
  </si>
  <si>
    <t>REGADO CON GREDAR12G-CAT</t>
  </si>
  <si>
    <t xml:space="preserve">COSTO/M3= </t>
  </si>
  <si>
    <t>REND=85 M3</t>
  </si>
  <si>
    <t>APISONADO CON RODILLO</t>
  </si>
  <si>
    <t>REND 85 M3</t>
  </si>
  <si>
    <t>ORNAMENTACION ( 5ML)</t>
  </si>
  <si>
    <t>REND=5 ml</t>
  </si>
  <si>
    <t>COSTO TOTAL EXCAVACION  /Ml</t>
  </si>
  <si>
    <t>AREA VERDE</t>
  </si>
  <si>
    <t>Trinitarias enanas</t>
  </si>
  <si>
    <t>ud/ml</t>
  </si>
  <si>
    <t>Palmarecas</t>
  </si>
  <si>
    <t>mo siembra</t>
  </si>
  <si>
    <t>irrigacion arbustos</t>
  </si>
  <si>
    <t>COSTO ORNAMENTACION/ML</t>
  </si>
  <si>
    <t>SEMBRADO DE GRAMAS TIPO ALFOMBRAS</t>
  </si>
  <si>
    <t>Suministro de grama tipo alfombra</t>
  </si>
  <si>
    <t>MO SIEMBRA</t>
  </si>
  <si>
    <t>Personas</t>
  </si>
  <si>
    <t>pers/hora</t>
  </si>
  <si>
    <t>picos, palas,</t>
  </si>
  <si>
    <t>rend =4ml/hora</t>
  </si>
  <si>
    <t>costo total/ml</t>
  </si>
  <si>
    <t>SUMINISTRO Y COLOCACION TIERRA NEGRA</t>
  </si>
  <si>
    <t>SUMNISTRO DE TERRA</t>
  </si>
  <si>
    <t>REGADO TIERRA NEGRA</t>
  </si>
  <si>
    <t>TRANSPORTE A 10 KM</t>
  </si>
  <si>
    <t>SUMINISTRO Y COLOCACION PIEDRAS BLANCAS</t>
  </si>
  <si>
    <t xml:space="preserve">SUMNISTRO DE PIEDRAS </t>
  </si>
  <si>
    <t>Recolección</t>
  </si>
  <si>
    <t>cargío a mano</t>
  </si>
  <si>
    <t>Cargío mecánico</t>
  </si>
  <si>
    <t>Arranque</t>
  </si>
  <si>
    <t>REGADO PIEDRAS</t>
  </si>
  <si>
    <t>rend 5 mL/m3</t>
  </si>
  <si>
    <t>fraguache</t>
  </si>
  <si>
    <t>mezcla 1:3</t>
  </si>
  <si>
    <t>escoba de guano</t>
  </si>
  <si>
    <t>Total Partida fraguache</t>
  </si>
  <si>
    <t>RD$/M2</t>
  </si>
  <si>
    <t>arena gruesa ITABO (de Planta)</t>
  </si>
  <si>
    <t>M.O. Mezclado</t>
  </si>
  <si>
    <t>BARANDA METALICA de 2 1/2"</t>
  </si>
  <si>
    <t>Suministro de tubo 21/2" HG</t>
  </si>
  <si>
    <t>CINTA REFLECTIVA (DE DOS COLORES)</t>
  </si>
  <si>
    <t>CINTA AVISO DE PELIGRO</t>
  </si>
  <si>
    <t>UD.</t>
  </si>
  <si>
    <t>APLICACIÓN EN CALLE</t>
  </si>
  <si>
    <t>APLICACIÓN EN CARRETERA</t>
  </si>
  <si>
    <t xml:space="preserve">DISCO </t>
  </si>
  <si>
    <t>CANTIDAD</t>
  </si>
  <si>
    <t>RD$</t>
  </si>
  <si>
    <t>Lbs</t>
  </si>
  <si>
    <t>MADRINAS</t>
  </si>
  <si>
    <t>Punta ovalada 0.680</t>
  </si>
  <si>
    <t>COMPRESOR</t>
  </si>
  <si>
    <t>HR</t>
  </si>
  <si>
    <t>Manguera 3/4 X 50´</t>
  </si>
  <si>
    <t>Lubricadotr de Linea</t>
  </si>
  <si>
    <t>Martillo de aire 15 Libs</t>
  </si>
  <si>
    <t>Cincel 1" ovalado 0.680</t>
  </si>
  <si>
    <t xml:space="preserve"> </t>
  </si>
  <si>
    <t>Cantidad</t>
  </si>
  <si>
    <t>P.U.</t>
  </si>
  <si>
    <t>m2</t>
  </si>
  <si>
    <t>Alambre No. 18</t>
  </si>
  <si>
    <t>ENCOFRADO Y DESENCOFRADO</t>
  </si>
  <si>
    <t>TANQUES (1 C/20 m)</t>
  </si>
  <si>
    <t>CLAVOS DE ACERO</t>
  </si>
  <si>
    <t>BLOQUES 0.15 M</t>
  </si>
  <si>
    <t>OPERARARIO DE TERCERA</t>
  </si>
  <si>
    <t>LIGADO Y VACIADO HS</t>
  </si>
  <si>
    <t>TRANSPORTE IER KM</t>
  </si>
  <si>
    <t xml:space="preserve">CHALECOS </t>
  </si>
  <si>
    <t>GUANTES</t>
  </si>
  <si>
    <t>BOTAS</t>
  </si>
  <si>
    <t>CASCOS</t>
  </si>
  <si>
    <t>CINTA REFLECTIVA (DE UN COLOR) (ROJA)</t>
  </si>
  <si>
    <t>AMARILLA</t>
  </si>
  <si>
    <t>CAL (20 KG)</t>
  </si>
  <si>
    <t>MEDIO AMBIENTE Y RODAJE</t>
  </si>
  <si>
    <t>PEAJE</t>
  </si>
  <si>
    <t>M3N</t>
  </si>
  <si>
    <t>M3E/KM</t>
  </si>
  <si>
    <t>MADERA</t>
  </si>
  <si>
    <t>ELECTRODOS</t>
  </si>
  <si>
    <t>LADRILLOS</t>
  </si>
  <si>
    <t>CALICHE</t>
  </si>
  <si>
    <t>PLACAS DE NEOPRENO</t>
  </si>
  <si>
    <t>Gls.</t>
  </si>
  <si>
    <t>Arena gruesa</t>
  </si>
  <si>
    <t>Grava</t>
  </si>
  <si>
    <t>Equipos</t>
  </si>
  <si>
    <t>MAESTRO ALBAÑIL</t>
  </si>
  <si>
    <t>AYUDANTE ALBAÑIL</t>
  </si>
  <si>
    <t>COSTO (RD$)</t>
  </si>
  <si>
    <t>ARENA DE EMPAÑETE</t>
  </si>
  <si>
    <t>Capataz</t>
  </si>
  <si>
    <t>Letreros</t>
  </si>
  <si>
    <t>M³</t>
  </si>
  <si>
    <t xml:space="preserve">GASOLINA </t>
  </si>
  <si>
    <t>TUBO DE 12" PVC SDR -26, 19"</t>
  </si>
  <si>
    <t>APLICACIÓN EN BACHEO</t>
  </si>
  <si>
    <t>RC-2 US$=4.25/GAL</t>
  </si>
  <si>
    <t>TRAILERS OFICINA 8`  X 45`</t>
  </si>
  <si>
    <t>TRAILERS OFICINA 8 ´ X 20´</t>
  </si>
  <si>
    <t>ida y vuelta azua</t>
  </si>
  <si>
    <t>HA</t>
  </si>
  <si>
    <t>US$=</t>
  </si>
  <si>
    <t>ALAMBRE GAVIONES  (ROLLO 55 LBS, 1 QQ=100 LBS; ROLLO=0.55QQ</t>
  </si>
  <si>
    <t>ARENA  SECA TRITURADA (100%)</t>
  </si>
  <si>
    <t>ARENA LAVADA GRIS 3/16-0"</t>
  </si>
  <si>
    <t>GRAVA LAVADA 3/4" -1/2"</t>
  </si>
  <si>
    <t>GRAVILLA LAVADA DE 1/2"-3/16"</t>
  </si>
  <si>
    <t xml:space="preserve">GRAVA SECA TRITURADA 100% </t>
  </si>
  <si>
    <t xml:space="preserve">GRAVILLA SECA TRITURADA 100% </t>
  </si>
  <si>
    <t>BASE TRITURADA DEL RIO LA CUEVA</t>
  </si>
  <si>
    <t>MALLA ELECTROSOLDADA 2.5 (10X10) (2.4x0.4 M)(5.35qq/rollo)</t>
  </si>
  <si>
    <t>MALLA ELECTROSOLDADA 2.7 (10X10) (2.4x0.4 M)(5.78qq/rollo)</t>
  </si>
  <si>
    <t>MALLA ELECTROSOLDADA 2.7 (15X15) (2.4x0.4 M)(4.04qq/rollo)</t>
  </si>
  <si>
    <t>GAVION TIPO CAJA SIN RECUBR. 4X1X1</t>
  </si>
  <si>
    <t>CAJA</t>
  </si>
  <si>
    <t>GAVION TIPO CAJA SIN RECUBR. 4X1.5X1</t>
  </si>
  <si>
    <t>GAVION TIPO CAJA SIN RECUBR. 4X2X1</t>
  </si>
  <si>
    <t>GAVION TIPO CAJA SIN RECUBR. 4X2X0.5(COLCHON)</t>
  </si>
  <si>
    <t>GAVION TIPO CAJA SIN RECUBR. 4X1X0.5(COLCHON)</t>
  </si>
  <si>
    <t>PINTURA DE TRAFICO TERMOPLASTICA</t>
  </si>
  <si>
    <t>MALLA ELECTROSOLDADA 2.3 (10X10) (2.4x0.4 M)(4.92qq/rollo),SE DEBE USAR MAYOR 2.3 SEGÚN NORMA</t>
  </si>
  <si>
    <t>cajon</t>
  </si>
  <si>
    <t>1x1</t>
  </si>
  <si>
    <t>1.50x1.50</t>
  </si>
  <si>
    <t>1.5x1.00</t>
  </si>
  <si>
    <t>2x2</t>
  </si>
  <si>
    <t>4.5x3.5</t>
  </si>
  <si>
    <t>muro new jersy</t>
  </si>
  <si>
    <t>6948/ml</t>
  </si>
  <si>
    <t>34830/ml</t>
  </si>
  <si>
    <t>47430/ml</t>
  </si>
  <si>
    <t>41130/ml</t>
  </si>
  <si>
    <t>60030/ml</t>
  </si>
  <si>
    <t>110430/ml</t>
  </si>
  <si>
    <t>año 2013</t>
  </si>
  <si>
    <t>ELEMENTO ECO L-20 (TIENE 1 M 2= 13.5UD)</t>
  </si>
  <si>
    <t>ELEMENTO ECO L-60(TIENE 1 M 2= 6.5UD)</t>
  </si>
  <si>
    <t>ELEMENTO ECO L-120(TIENE 1 M 2= 4.5UD)</t>
  </si>
  <si>
    <t>ELEMENTO ECO HIDRAULICO L-120(TIENE 1 M 2= 4.5UD)</t>
  </si>
  <si>
    <t>CONO ROJO 50 CMS</t>
  </si>
  <si>
    <t>CARRETILLA 5 PIES</t>
  </si>
  <si>
    <t>CARETA SOLDADOR</t>
  </si>
  <si>
    <t>GAFAS</t>
  </si>
  <si>
    <t>MALLA GEOTEXTIL con itbis 28/08/2014(3.81*110=419.10)</t>
  </si>
  <si>
    <t>PALA CUADRADA Y REDONDAS</t>
  </si>
  <si>
    <t>MAQUINA CORTADORA DE GRAMA TIPO BASTON 15" 25CC</t>
  </si>
  <si>
    <t>GAVION TIPO CAJA CON RECUBR. PVC 4X1X1</t>
  </si>
  <si>
    <t>GAVION TIPO CAJA CON RECUBR.PVC 4X1.5X1</t>
  </si>
  <si>
    <t>GAVION TIPO CAJA CON RECUBR.  PVC 4X2X1</t>
  </si>
  <si>
    <t>GAVION CON PVC ROLLO</t>
  </si>
  <si>
    <t>522.56+itbis*tasa dólar/7dias ; cosume 2.5 gls/dia</t>
  </si>
  <si>
    <t>1/2 gl/hora gasolina</t>
  </si>
  <si>
    <t xml:space="preserve"> costo /mes incluye combustible 21 oct 2014</t>
  </si>
  <si>
    <t>Nº</t>
  </si>
  <si>
    <t>PARTIDA</t>
  </si>
  <si>
    <t>P.U</t>
  </si>
  <si>
    <t>SUB-TOTAL</t>
  </si>
  <si>
    <t>l</t>
  </si>
  <si>
    <t>TRABAJOS GENERALES</t>
  </si>
  <si>
    <t>1.1.1</t>
  </si>
  <si>
    <t>II</t>
  </si>
  <si>
    <t>MOVIMIENTO DE TIERRA</t>
  </si>
  <si>
    <t>III</t>
  </si>
  <si>
    <t>IV</t>
  </si>
  <si>
    <t>V</t>
  </si>
  <si>
    <t>ESTRUCTURAS Y PUENTES</t>
  </si>
  <si>
    <t>VII</t>
  </si>
  <si>
    <t>VI</t>
  </si>
  <si>
    <t>Rollo de puas calibre 16 250 m.l</t>
  </si>
  <si>
    <t>incluye IBIS</t>
  </si>
  <si>
    <t>PIEDRA</t>
  </si>
  <si>
    <t>ALAMBRE No. 16</t>
  </si>
  <si>
    <t>AC-30 ( US$=3.5/gal)</t>
  </si>
  <si>
    <t>MINISTERIO  DE OBRAS PUBLICAS Y COMUNICACIONES</t>
  </si>
  <si>
    <t>DIRECCION GENERAL  DE ESTUDIOS, DISEÑO DE INFRAESTRUCTURA Y PRESUPUESTO</t>
  </si>
  <si>
    <t>DEPARTAMENTO DE PRESUPUESTO Y ANALISIS DE COSTOS DE INFRAESTRUCTURAS VIALES</t>
  </si>
  <si>
    <t xml:space="preserve">FECHA: </t>
  </si>
  <si>
    <t xml:space="preserve">SERENO </t>
  </si>
  <si>
    <t>Colocación de Block</t>
  </si>
  <si>
    <t>Hormigón losa fondo Ind. 180 kg/cm2</t>
  </si>
  <si>
    <t>LISTADO DE MANO DE OBRA (MAYO 2017)</t>
  </si>
  <si>
    <t>CONSTRUCCION DE CONTENES CON BORDILLO 0.3 X 0.8 X 0.10</t>
  </si>
  <si>
    <t>CONSTRUCCION DE CONTENES CON BORDILLO 0.40 X  0.20</t>
  </si>
  <si>
    <t>Limpieza Final y Bote</t>
  </si>
  <si>
    <t xml:space="preserve">ILUMINARIA </t>
  </si>
  <si>
    <t>Grua 10 tn.</t>
  </si>
  <si>
    <t>Bomba de achique de 6"</t>
  </si>
  <si>
    <t>Bomba de achique de 4"</t>
  </si>
  <si>
    <t>2.4.1</t>
  </si>
  <si>
    <t>7.8.4</t>
  </si>
  <si>
    <t>RELACION PRECIOS MATERIALES (Julio 2017)</t>
  </si>
  <si>
    <t>5.2.4</t>
  </si>
  <si>
    <t>GASOIL OPTIMO</t>
  </si>
  <si>
    <t>Panam</t>
  </si>
  <si>
    <t>JUNTAS DE POLIMEMRO (WATER STOP) (6 X 3 / 16 503)</t>
  </si>
  <si>
    <t>LONG. 50 PIES</t>
  </si>
  <si>
    <t>JUNTAS DE POLIMEMRO (WATER STOP) (9 X 3 / 16 0020)</t>
  </si>
  <si>
    <t>ALAMBRE GAVIONES TIPO CAJA</t>
  </si>
  <si>
    <t>Beneficios</t>
  </si>
  <si>
    <t>Seguro y Fianza</t>
  </si>
  <si>
    <t>Gastos Administrativos</t>
  </si>
  <si>
    <t>Transporte de Equipos</t>
  </si>
  <si>
    <t>Imprevistos</t>
  </si>
  <si>
    <t>Codia</t>
  </si>
  <si>
    <t>Ley 6/86</t>
  </si>
  <si>
    <t>NOTAS :</t>
  </si>
  <si>
    <t>I</t>
  </si>
  <si>
    <t>El Gasto de Imprevisto solo puede ser utilizado con previa autorización de este Ministerio</t>
  </si>
  <si>
    <t>Estudios</t>
  </si>
  <si>
    <t xml:space="preserve">TOTAL GENERAL PRESUPUESTO </t>
  </si>
  <si>
    <t xml:space="preserve">ITBIS del Beneficio  </t>
  </si>
  <si>
    <t>6.3.8</t>
  </si>
  <si>
    <t>6.3.9</t>
  </si>
  <si>
    <t>La limpieza final será requisito indispensable para la formal recepción de la obra</t>
  </si>
  <si>
    <t>Los P.A serán pagados en las cubicaciones mediante desgloses de partidas. Transporte de equipos, letreros en Obra, y Estudios se pagarían a presentación de facturas.</t>
  </si>
  <si>
    <t>Los P. A. de los Trabajos Generales deberán ser pagados proporcional al monto cubicado. El Campamento, y Desvios deberán de pagarse mediante desglose.</t>
  </si>
  <si>
    <t>1.2.1</t>
  </si>
  <si>
    <t>Mantenimiento de Tránsito</t>
  </si>
  <si>
    <t>1.4.1</t>
  </si>
  <si>
    <t>Campamento</t>
  </si>
  <si>
    <t>c)</t>
  </si>
  <si>
    <t>2.3.4</t>
  </si>
  <si>
    <t>Excavación de préstamo, caso I, 1er KM con Acarreo Libre</t>
  </si>
  <si>
    <t>2.3.6</t>
  </si>
  <si>
    <t>Relleno:</t>
  </si>
  <si>
    <t>a)</t>
  </si>
  <si>
    <t xml:space="preserve">Para conformación explanación </t>
  </si>
  <si>
    <t>2.3.13</t>
  </si>
  <si>
    <t>Escarificación de Superficie</t>
  </si>
  <si>
    <t>M3e-Hm</t>
  </si>
  <si>
    <t>2.4.2</t>
  </si>
  <si>
    <t>M3e-Km</t>
  </si>
  <si>
    <t>2.4.3</t>
  </si>
  <si>
    <t>2.6.1</t>
  </si>
  <si>
    <t>Terminación de Sub-Rasante</t>
  </si>
  <si>
    <t>SUB BASE Y BASE</t>
  </si>
  <si>
    <t>CAPA DE RODADURA</t>
  </si>
  <si>
    <t>4.2.1</t>
  </si>
  <si>
    <t>7.3.5</t>
  </si>
  <si>
    <t>COEFICIENTES UTILIZADOS</t>
  </si>
  <si>
    <t>Distancia de Bote:</t>
  </si>
  <si>
    <t>Excavación Material Inservible:</t>
  </si>
  <si>
    <t>Con equipo</t>
  </si>
  <si>
    <t>Material Inservible</t>
  </si>
  <si>
    <t>4.3.1</t>
  </si>
  <si>
    <t>TOTAL GENERAL</t>
  </si>
  <si>
    <t>Gastos Administrativo</t>
  </si>
  <si>
    <t>ITBIS Beneficio</t>
  </si>
  <si>
    <t xml:space="preserve">SUB-TOTAL GENERAL </t>
  </si>
  <si>
    <t>Riego de adherencia</t>
  </si>
  <si>
    <t>Aplicación</t>
  </si>
  <si>
    <t xml:space="preserve">Elaboración </t>
  </si>
  <si>
    <t>4.1.1</t>
  </si>
  <si>
    <t>4.1.2</t>
  </si>
  <si>
    <t>4.1.3</t>
  </si>
  <si>
    <t>4.1.4</t>
  </si>
  <si>
    <t xml:space="preserve">Los contenes se construirán conforme a las especificaciones generales para la Construcción de Carreteras (R-014), sin necesidad de construir una Base de piedra argamasada (TELFORD). </t>
  </si>
  <si>
    <t xml:space="preserve">Distancia de Mina: </t>
  </si>
  <si>
    <t xml:space="preserve">7.3.1 </t>
  </si>
  <si>
    <t>2.3.3</t>
  </si>
  <si>
    <t>d)</t>
  </si>
  <si>
    <t>2.5.1</t>
  </si>
  <si>
    <t>Excavación para Estructuras Hasta 1.50M de Profundidad</t>
  </si>
  <si>
    <t>5.2.8</t>
  </si>
  <si>
    <t xml:space="preserve">CARPETA DE HORMIGON ASFALTICO CALIENTE </t>
  </si>
  <si>
    <t>Aceras de Hormigón</t>
  </si>
  <si>
    <t>Pintura Trafico</t>
  </si>
  <si>
    <t>Thinner,brochas</t>
  </si>
  <si>
    <t>ALAMBRE No. 18</t>
  </si>
  <si>
    <t>CEMENTO PEGATO /SIMILAR</t>
  </si>
  <si>
    <t>TUBO SE 2´´</t>
  </si>
  <si>
    <t>TORNILLOS FIJCION</t>
  </si>
  <si>
    <t>MADERA BRUTA</t>
  </si>
  <si>
    <t>PLYWOOD DE 3/4</t>
  </si>
  <si>
    <t>f)</t>
  </si>
  <si>
    <t>Material de Estructuras</t>
  </si>
  <si>
    <t>Ingeniería</t>
  </si>
  <si>
    <t>2.1.2</t>
  </si>
  <si>
    <t>b)</t>
  </si>
  <si>
    <t>Para Cabezales</t>
  </si>
  <si>
    <t>6.1.4</t>
  </si>
  <si>
    <t>Suministro,Acarreo,Colocación y Compactación de Material  de Relleno para Tuberias y Obras Conexas</t>
  </si>
  <si>
    <t>6.1.5</t>
  </si>
  <si>
    <t>TRABAJADOR NO CALIFICADO</t>
  </si>
  <si>
    <t>MANO DE OBRA MINISTERIO DE TRABAJO</t>
  </si>
  <si>
    <t>MAESTRO ( MA)</t>
  </si>
  <si>
    <t>OPERARIO DE Ira ( OP1)</t>
  </si>
  <si>
    <t>OPERARIO DE 2da ( OP2)</t>
  </si>
  <si>
    <t>OPERARIO DE3Ira ( OP3)</t>
  </si>
  <si>
    <t>AYUDANTE ( AYU)</t>
  </si>
  <si>
    <t>TECNICO CALIFICADO ( TC)</t>
  </si>
  <si>
    <t>TECNICO NO CALIFICADO ( TNC)</t>
  </si>
  <si>
    <t>Brigada topográfica, Estación Total (BT: Topog+Nivelador+Seccionista+Cadenero, etc)</t>
  </si>
  <si>
    <t>ACERO ESTRUCTURAL (3/4" Y 1")</t>
  </si>
  <si>
    <t>ACERO ESTRUCTURAL (3/8", 1/2")</t>
  </si>
  <si>
    <t>Rend.</t>
  </si>
  <si>
    <t>MA</t>
  </si>
  <si>
    <t>OP1</t>
  </si>
  <si>
    <t>OP2</t>
  </si>
  <si>
    <t>OP3</t>
  </si>
  <si>
    <t>AY</t>
  </si>
  <si>
    <t>TC</t>
  </si>
  <si>
    <t>TNC</t>
  </si>
  <si>
    <t>M.O. ALB., ACERA Y CONTENES:</t>
  </si>
  <si>
    <t>Base para contenes Telford con mezcla</t>
  </si>
  <si>
    <t>Const. acera frot., viol., .10 m. esp., coloc. horm.</t>
  </si>
  <si>
    <t>Contén con bordillo 25x15 cm</t>
  </si>
  <si>
    <t>m</t>
  </si>
  <si>
    <t>Contén con bordillo 30x8x10 cm</t>
  </si>
  <si>
    <t>Contén con bordillo 40 cm alto x 20 cm ancho</t>
  </si>
  <si>
    <t>Contén de 55x30x15 cm</t>
  </si>
  <si>
    <t>Preparacion de area</t>
  </si>
  <si>
    <t>M.O. ALB., BLOQUES, COLOCACION</t>
  </si>
  <si>
    <t>Coloc. bloque  4x 8 x16 pulgs.</t>
  </si>
  <si>
    <t>Coloc. bloque  5x8x16 pulgs.</t>
  </si>
  <si>
    <t>Coloc. bloque  6x8x16 pulgs.</t>
  </si>
  <si>
    <t>Coloc. bloque  6x8x18 pulgs.</t>
  </si>
  <si>
    <t>Coloc. bloque  8x8x16 pulgs.</t>
  </si>
  <si>
    <t>Coloc. bloque 12x8x16 pulgs.</t>
  </si>
  <si>
    <t>Corte y amarre varilla bloques a 020 m.</t>
  </si>
  <si>
    <t>Corte y amarre varilla bloques a 0.40 m.</t>
  </si>
  <si>
    <t>Corte y amarre varilla bloques a 0.60 m.</t>
  </si>
  <si>
    <t>Corte y amarre varilla bloques a 0.80 m.</t>
  </si>
  <si>
    <t>Llenar hueco bloque a 020 m.</t>
  </si>
  <si>
    <t>Llenar hueco bloque a 0.40 m.</t>
  </si>
  <si>
    <t>Llenar hueco bloque a 0.60 m.</t>
  </si>
  <si>
    <t>Llenar hueco bloque a 0.80 m.</t>
  </si>
  <si>
    <t>Subida de block 2do. Nivel</t>
  </si>
  <si>
    <t>M.O. ALB., PISOS Y ZOCALOS:</t>
  </si>
  <si>
    <t>Piso Cemento pulido (fino solo)</t>
  </si>
  <si>
    <t>Piso Cerám. criolla 15x15 hasta 20x20 cm, +sin base y nivel</t>
  </si>
  <si>
    <t>Piso Cerám. criolla 30x30 hasta 40x40 cm, sin base y nivel</t>
  </si>
  <si>
    <t>Piso Cerámica import. 15x15 hasta 20x20 cm, sin base y nivel</t>
  </si>
  <si>
    <t>Piso Cerámica import. 30x30 hasta 40x40 cm, sin base y nivel</t>
  </si>
  <si>
    <t>Zócalo corriente</t>
  </si>
  <si>
    <t>Zócalo corriente en escalera</t>
  </si>
  <si>
    <t>Zócalo granito en escalera</t>
  </si>
  <si>
    <t>Zócalo granito en piso</t>
  </si>
  <si>
    <t>Corte ceramica</t>
  </si>
  <si>
    <t>Corte zocalo</t>
  </si>
  <si>
    <t>Subida de arena 2do nivel</t>
  </si>
  <si>
    <t>Subida de cemento 2do. Nivel</t>
  </si>
  <si>
    <t>fdas</t>
  </si>
  <si>
    <t>M.O. ALB., EMPAÑETES, TERM. PAREDES Y TECHOS:</t>
  </si>
  <si>
    <t>Empañete rateado horiz. y vertical, punta llana</t>
  </si>
  <si>
    <t>Empañete techos y vigas</t>
  </si>
  <si>
    <t>Empañete techos, maestrado, a nivel, 2 cm Mín.</t>
  </si>
  <si>
    <t>Estría</t>
  </si>
  <si>
    <t>Fragüache con escoba</t>
  </si>
  <si>
    <t>Gotero colgante</t>
  </si>
  <si>
    <t>Gotero en ranura</t>
  </si>
  <si>
    <t>Empañete columnas desde 20 cm ancho en adelante</t>
  </si>
  <si>
    <t>Empañete ext., maestrado, a plomo (sin andamios)</t>
  </si>
  <si>
    <t>Empañete HI-RIB, 3 capas</t>
  </si>
  <si>
    <t>Empañete int., en paredes, maestrado, a plomo</t>
  </si>
  <si>
    <t>Empañete pulido a color</t>
  </si>
  <si>
    <t>Empañete pulido sin color</t>
  </si>
  <si>
    <t>Canto</t>
  </si>
  <si>
    <t>Andamios</t>
  </si>
  <si>
    <t>Bajo relieve, incluye canto</t>
  </si>
  <si>
    <t>M.O. ALB., TECHOS, TERMINACION:</t>
  </si>
  <si>
    <t>Capa atérmica, sin subir mat.</t>
  </si>
  <si>
    <t>Fino techo Bermuda, cantos, sin subir mat.</t>
  </si>
  <si>
    <t>Fino techo horiz., sin subir mat.</t>
  </si>
  <si>
    <t>Fino techo inclinado, sin subir mat.</t>
  </si>
  <si>
    <t>Zabaleta en piso</t>
  </si>
  <si>
    <t>Zabaleta en techo</t>
  </si>
  <si>
    <t>MANO DE OBRA VARILLAS</t>
  </si>
  <si>
    <t>Coloc. acero alta resistencia</t>
  </si>
  <si>
    <t>Coloc. acero col. 3/8" ó ½", hasta 6 de ½"</t>
  </si>
  <si>
    <t>Coloc. acero col. Redonda 6 de ½" hasta 4 de ¾"</t>
  </si>
  <si>
    <t>Coloc. acero dintel y v. Amarre hasta 20x.40 y ½" ó 3/8"</t>
  </si>
  <si>
    <t>Coloc. Acero fuera ciudad (30 km. o más) (25% adic.)</t>
  </si>
  <si>
    <t>Coloc. acero losa con Lima Hoya o Lima Tesa (50% adic.)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</si>
  <si>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</si>
  <si>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</si>
  <si>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</si>
  <si>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</si>
  <si>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</si>
  <si>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</si>
  <si>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</t>
  </si>
  <si>
    <t>Subir acero techo 2do. Nivel (10%)</t>
  </si>
  <si>
    <t>Subir acero techo 3er. Nivel (15%)</t>
  </si>
  <si>
    <t>OTROS</t>
  </si>
  <si>
    <t>VACIADO CON BOMBA</t>
  </si>
  <si>
    <t>COL. HORMIGON</t>
  </si>
  <si>
    <t>VACIADO CON ligadora</t>
  </si>
  <si>
    <t>VACIADO a mano</t>
  </si>
  <si>
    <t>ACARREO INTERNO ACERO,DIST &gt; DE 10 mts</t>
  </si>
  <si>
    <t>ANDAMIOS a todo costo</t>
  </si>
  <si>
    <t>M.O. PINTURA:</t>
  </si>
  <si>
    <t>Barniz, 1ra. mano</t>
  </si>
  <si>
    <t>Barniz, 2da. mano</t>
  </si>
  <si>
    <t>Cal y Carburo, 1ra. mano</t>
  </si>
  <si>
    <t>Cal y Carburo, 2da. mano</t>
  </si>
  <si>
    <t>Cornisa</t>
  </si>
  <si>
    <t>De agua, 1ra. mano, p. LISA, masilla, lija y piedra</t>
  </si>
  <si>
    <t>De agua, 2da. mano, pared LISA</t>
  </si>
  <si>
    <t>De agua, 2 manos, p. LISA, masilla, lija, piedra</t>
  </si>
  <si>
    <t>De agua, 1ra. mano, pared RUSTICA</t>
  </si>
  <si>
    <t>De agua, 2da. mano, pared RUSTICA</t>
  </si>
  <si>
    <t>De agua, 2 manos, pared RUSTICA</t>
  </si>
  <si>
    <t>Imperm., 1ra. Mano, limpieza y sellar grietas</t>
  </si>
  <si>
    <t>Impermeabilizante, 2da. mano</t>
  </si>
  <si>
    <t>Mant., 1ra. mano, p. LISA, masilla, lija sin piedra</t>
  </si>
  <si>
    <t>Mant., 2da. mano, pared LISA, sin piedra</t>
  </si>
  <si>
    <t>Mant., 2 manos, p. LISA, masilla, lija sin piedra</t>
  </si>
  <si>
    <t>Oxido de Zinc, 1ra. mano</t>
  </si>
  <si>
    <t>Oxido de Zinc, 2da. mano</t>
  </si>
  <si>
    <t>Piedra sobre paredes</t>
  </si>
  <si>
    <t>Rapilla total y/o parcial</t>
  </si>
  <si>
    <t>Volutas en ventanas y en muros</t>
  </si>
  <si>
    <t xml:space="preserve">PRECIO DE LA M.O </t>
  </si>
  <si>
    <t>Cualificación Laboral</t>
  </si>
  <si>
    <t>Salario Horario           (RD$)</t>
  </si>
  <si>
    <t xml:space="preserve">Cargas Sociales (RD$)           </t>
  </si>
  <si>
    <t xml:space="preserve">Desplazamiento (RD$)                </t>
  </si>
  <si>
    <t>Total Horario           (RD$)</t>
  </si>
  <si>
    <t>HORMIGON INDUSTRIAL 280 KG/CM2</t>
  </si>
  <si>
    <t>Bajo acera</t>
  </si>
  <si>
    <t>Material de Asiento Clase C</t>
  </si>
  <si>
    <t>6.3.4</t>
  </si>
  <si>
    <t>Imbornal tipo II  hasta 1.50 m de prof.   (incluye Excav.)</t>
  </si>
  <si>
    <t>TUBERIA DE PVC DE 12´´ SDR-21 ESPIGA Y CAMPANA</t>
  </si>
  <si>
    <t>TUBERIA DE PVC DE 12´´ SDR-21 CON JUNTA DE GOMA</t>
  </si>
  <si>
    <t xml:space="preserve">PLOMERTIA </t>
  </si>
  <si>
    <t>TUNERIA DE 12´´ PVC ESPIGA Y CAMPANA</t>
  </si>
  <si>
    <t xml:space="preserve"> BASE TRITURADA</t>
  </si>
  <si>
    <t xml:space="preserve">Limpieza ,Desmonte y Destronque Tipo B </t>
  </si>
  <si>
    <t>SUB-TOTAL   RD$</t>
  </si>
  <si>
    <t>Para Badenes</t>
  </si>
  <si>
    <t>Hormigón Ciclopeo</t>
  </si>
  <si>
    <t>PIEDRA ENCACHE /MINA BARRERA</t>
  </si>
  <si>
    <t>Cuando los insumos: Combustible, Acero, Cemento, Concreto, RC-2, varíen ascendente o descendente del porciento (%) indicado en el contrato, con relación a los Insumos del Presupuesto Original, se reconsiderará un reajuste en las partidas que son afectadas por estos insumos.</t>
  </si>
  <si>
    <t>Sub Base Clasificada de Planta</t>
  </si>
  <si>
    <t>BASE GRANULAR Clasificada de planta</t>
  </si>
  <si>
    <t xml:space="preserve">Marco y tapa metálica P/ Registro </t>
  </si>
  <si>
    <t xml:space="preserve">Marco y rejilla metálica para imbornal </t>
  </si>
  <si>
    <t>Base Granular Triturada  (Incluye Acarreo del 1er km)</t>
  </si>
  <si>
    <t>CARPINTERO DE 3RA</t>
  </si>
  <si>
    <t>ARENA SECA OCHOA</t>
  </si>
  <si>
    <t>SIN TRASPORTE</t>
  </si>
  <si>
    <t>GRAVA DE 3/8" A 3/4" OCHOA</t>
  </si>
  <si>
    <t>SIN TRAPSORTE</t>
  </si>
  <si>
    <t xml:space="preserve">ACERO ESTRUCTURAL (1``,3/4``,3/8", 1/2") OCHOA </t>
  </si>
  <si>
    <t>OCHOA</t>
  </si>
  <si>
    <t>MADERA CEPILLADA</t>
  </si>
  <si>
    <t>CLAVOS CORRINTES</t>
  </si>
  <si>
    <t>LBS</t>
  </si>
  <si>
    <t>PIEDRA ENCACHE /PADOCA NAVARRTE</t>
  </si>
  <si>
    <t>SIN TRANSPOPRTE</t>
  </si>
  <si>
    <t>GRAVILLA OCHOA</t>
  </si>
  <si>
    <t>SIN TRANSPORTE</t>
  </si>
  <si>
    <t xml:space="preserve"> BASE TRITURADA PADOCA</t>
  </si>
  <si>
    <t>Seguros, Fianzas</t>
  </si>
  <si>
    <t>DRENAJE</t>
  </si>
  <si>
    <t>OBRAS COMPLEMENTARIAS</t>
  </si>
  <si>
    <t xml:space="preserve"> BASE TRITURADA OCHOA</t>
  </si>
  <si>
    <t>6.1.1</t>
  </si>
  <si>
    <t>Tuberias de Hormigón de:</t>
  </si>
  <si>
    <t xml:space="preserve">TOTAL GRAL PRES. + CARPETA </t>
  </si>
  <si>
    <t>Supervisión y Fiscalización</t>
  </si>
  <si>
    <t>Inspección y Laboratorio</t>
  </si>
  <si>
    <t>3.1.7</t>
  </si>
  <si>
    <t xml:space="preserve">e) </t>
  </si>
  <si>
    <t>ITBIS Elaboración Carpeta I</t>
  </si>
  <si>
    <t>CAPA DE RODADURA I</t>
  </si>
  <si>
    <t>LONG. (KM) = 3.377</t>
  </si>
  <si>
    <t>ANCHO PROMEDIO (M) = 7.00</t>
  </si>
  <si>
    <t>ACERAS= 1.00 C/U</t>
  </si>
  <si>
    <t>ESPESOR DE BASE (M)= 0.20</t>
  </si>
  <si>
    <t>ESP. DE CARPETA = 2.5"</t>
  </si>
  <si>
    <t>CONTENES (ML)= 0.55 C/U</t>
  </si>
  <si>
    <t>KM</t>
  </si>
  <si>
    <t>2.2.14</t>
  </si>
  <si>
    <t>Remoción de contenes</t>
  </si>
  <si>
    <t>2.2.16</t>
  </si>
  <si>
    <t>Remocion y Recolocación de tuberias de Acueducto</t>
  </si>
  <si>
    <t>2.2.18</t>
  </si>
  <si>
    <t>Remocion y Recolocacion de Postes de tendido electrico</t>
  </si>
  <si>
    <t>2.2.29</t>
  </si>
  <si>
    <t>Remoción de Badenes</t>
  </si>
  <si>
    <t>2.2.30</t>
  </si>
  <si>
    <t>Remoción de Encaches de Cunetas</t>
  </si>
  <si>
    <t>2.2.32</t>
  </si>
  <si>
    <t xml:space="preserve">Remoción de Pasarela en Hormigón Estructural Clase E </t>
  </si>
  <si>
    <t>2.3.2</t>
  </si>
  <si>
    <t>Excavación en material No Clasificado:</t>
  </si>
  <si>
    <t>Con sobreacarreo</t>
  </si>
  <si>
    <t>2.3.11</t>
  </si>
  <si>
    <t>Cunetas en pie de talud</t>
  </si>
  <si>
    <t>2.3.12</t>
  </si>
  <si>
    <t>Canalización</t>
  </si>
  <si>
    <t>Acarreo Adicional (Bote) de: A 5.00 KM</t>
  </si>
  <si>
    <t>Material de Canalización</t>
  </si>
  <si>
    <t>Material de Aceras, Contenes, Badenes, Cunetas y Pasarela</t>
  </si>
  <si>
    <t>Material No Clasificado</t>
  </si>
  <si>
    <t>Acarreo Adicional Material de Préstamo (5.00 KM)</t>
  </si>
  <si>
    <t>Acarreo Adicional Material de Base (28.00 KM)</t>
  </si>
  <si>
    <t>Señalización Horizontal y Vertical</t>
  </si>
  <si>
    <t>30`` Clase III</t>
  </si>
  <si>
    <t>5.2.8.1</t>
  </si>
  <si>
    <t xml:space="preserve">Carpeta de hormigón de 2.5"  mezclado en planta </t>
  </si>
  <si>
    <t>Material Inservible , N-S: 1.36</t>
  </si>
  <si>
    <t>Material No Calsificado: N-S: 1.20</t>
  </si>
  <si>
    <t>Material de Relleno C-S: 1.35, N-S: 1.30</t>
  </si>
  <si>
    <t>Material de Base: C-S: 1.26</t>
  </si>
  <si>
    <t>Material de Canalización : N-S: 1.36</t>
  </si>
  <si>
    <t>Material de Estructuras : N-S: 1.36</t>
  </si>
  <si>
    <t>Mina Guaca</t>
  </si>
  <si>
    <t>Agregado Juan Vasquez</t>
  </si>
  <si>
    <t>5.00 KM</t>
  </si>
  <si>
    <t>US$ 100=RD$ 50.08</t>
  </si>
  <si>
    <t>2.2.23</t>
  </si>
  <si>
    <t>5.1.1</t>
  </si>
  <si>
    <t>Préstamo:5.00 KM</t>
  </si>
  <si>
    <t>Base: 28.00 KM</t>
  </si>
  <si>
    <t>El precio del  Gasoil usado fue de:  RD$ 207.90/gl; RC-2 US $4.25/gl y Costo del dólar RD$ 50.08/US</t>
  </si>
  <si>
    <r>
      <t>Distancia Asfalto:</t>
    </r>
    <r>
      <rPr>
        <b/>
        <sz val="10"/>
        <color indexed="8"/>
        <rFont val="Arial"/>
        <family val="2"/>
      </rPr>
      <t>20.00 Km</t>
    </r>
  </si>
  <si>
    <r>
      <rPr>
        <sz val="10"/>
        <color indexed="8"/>
        <rFont val="Arial"/>
        <family val="2"/>
      </rPr>
      <t>Espesor Base</t>
    </r>
    <r>
      <rPr>
        <b/>
        <sz val="10"/>
        <color indexed="8"/>
        <rFont val="Arial"/>
        <family val="2"/>
      </rPr>
      <t>:  ( M) 0.20 y 0.25</t>
    </r>
  </si>
  <si>
    <t>Riego de Imprimación (0.5 Gls/M2)</t>
  </si>
  <si>
    <t>Losa de Hormigón Estructural f´c= 280 kg/cm2</t>
  </si>
  <si>
    <t>Hormigón Estructural clase D ( f´c= 210 kg/cm2):</t>
  </si>
  <si>
    <t>Hormigon Simple vaciado en sitio para cunetas (f´c= 180 kg/cm2)</t>
  </si>
  <si>
    <t>Remoción y Recolocacion de Alambradas (5 cuerdas)</t>
  </si>
  <si>
    <t>RELACION DE PARTIDAS  PARA LA CONSTRUCCION DE LA CARRETERA  LA PENDA, PROVINCIA LA VEGA</t>
  </si>
  <si>
    <t>Transporte (28 km)</t>
  </si>
  <si>
    <t>Construcción de Conten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</si>
</sst>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_-* #,##0.00\ _€_-;\-* #,##0.00\ _€_-;_-* &quot;-&quot;??\ _€_-;_-@_-"/>
    <numFmt numFmtId="172" formatCode="_(* #,##0.000_);_(* \(#,##0.000\);_(* &quot;-&quot;??_);_(@_)"/>
    <numFmt numFmtId="173" formatCode="0.00_)"/>
    <numFmt numFmtId="174" formatCode="#,##0.000_);\(#,##0.000\)"/>
    <numFmt numFmtId="175" formatCode="#,##0.0000_);\(#,##0.0000\)"/>
    <numFmt numFmtId="176" formatCode="0.000"/>
    <numFmt numFmtId="177" formatCode="_([$€-2]* #,##0.00_);_([$€-2]* \(#,##0.00\);_([$€-2]* &quot;-&quot;??_)"/>
    <numFmt numFmtId="178" formatCode="#,##0.000"/>
    <numFmt numFmtId="179" formatCode="0.0000"/>
    <numFmt numFmtId="180" formatCode="#,##0.00000"/>
    <numFmt numFmtId="181" formatCode="#,##0.0000"/>
    <numFmt numFmtId="182" formatCode="0.0%"/>
    <numFmt numFmtId="183" formatCode="_(&quot;RD$&quot;* #,##0.0_);_(&quot;RD$&quot;* \(#,##0.0\);_(&quot;RD$&quot;* &quot;-&quot;??_);_(@_)"/>
    <numFmt numFmtId="184" formatCode="_(* #,##0.0000_);_(* \(#,##0.0000\);_(* &quot;-&quot;????_);_(@_)"/>
    <numFmt numFmtId="185" formatCode="0.00_);\(0.00\)"/>
    <numFmt numFmtId="186" formatCode="###,###,##0.00"/>
    <numFmt numFmtId="187" formatCode="_(* #,##0.00_);_(* \(#,##0.00\);_(* &quot;-&quot;???_);_(@_)"/>
    <numFmt numFmtId="188" formatCode="_(* #,##0.000_);_(* \(#,##0.000\);_(* &quot;-&quot;???_);_(@_)"/>
    <numFmt numFmtId="189" formatCode="_(* #,##0.0000_);_(* \(#,##0.0000\);_(* &quot;-&quot;??_);_(@_)"/>
    <numFmt numFmtId="190" formatCode="0.0"/>
    <numFmt numFmtId="191" formatCode="_(* #,##0_);_(* \(#,##0\);_(* &quot;-&quot;??_);_(@_)"/>
    <numFmt numFmtId="192" formatCode="#,##0.0000;[Red]\-#,##0.0000"/>
    <numFmt numFmtId="193" formatCode="#,##0.000_);[Red]\(#,##0.000\)"/>
    <numFmt numFmtId="194" formatCode="#,##0.0000_);[Red]\(#,##0.0000\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.00000_);_(* \(#,##0.00000\);_(* &quot;-&quot;??_);_(@_)"/>
    <numFmt numFmtId="200" formatCode="[$-540A]dddd\,\ mmmm\ dd\,\ yyyy"/>
    <numFmt numFmtId="201" formatCode="[$-1540A]mm/dd/yyyy;@"/>
    <numFmt numFmtId="202" formatCode="0.00000"/>
    <numFmt numFmtId="203" formatCode="[$-1C0A]dddd\,\ dd&quot; de &quot;mmmm&quot; de &quot;yyyy"/>
    <numFmt numFmtId="204" formatCode="dd/mm/yyyy;@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6"/>
      <name val="Verdana"/>
      <family val="2"/>
    </font>
    <font>
      <sz val="11"/>
      <color indexed="17"/>
      <name val="Calibri"/>
      <family val="2"/>
    </font>
    <font>
      <b/>
      <sz val="10"/>
      <color indexed="19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20"/>
      <name val="Calibri"/>
      <family val="2"/>
    </font>
    <font>
      <sz val="10"/>
      <color indexed="63"/>
      <name val="Verdana"/>
      <family val="2"/>
    </font>
    <font>
      <sz val="10"/>
      <color indexed="19"/>
      <name val="Verdan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0"/>
      <name val="Courier"/>
      <family val="3"/>
    </font>
    <font>
      <sz val="12"/>
      <name val="Arial"/>
      <family val="2"/>
    </font>
    <font>
      <b/>
      <sz val="11"/>
      <color indexed="8"/>
      <name val="Lucida Sans Unicode"/>
      <family val="2"/>
    </font>
    <font>
      <sz val="1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sz val="8"/>
      <name val="Lucida Sans Unicode"/>
      <family val="2"/>
    </font>
    <font>
      <sz val="10"/>
      <name val="Lucida Sans Unicode"/>
      <family val="2"/>
    </font>
    <font>
      <sz val="10"/>
      <name val="Genev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Lucida Sans Unicod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Arial"/>
      <family val="2"/>
    </font>
    <font>
      <b/>
      <vertAlign val="subscript"/>
      <sz val="8"/>
      <name val="Lucida Sans Unicode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0"/>
      <name val="MS Sans Serif"/>
      <family val="2"/>
    </font>
    <font>
      <b/>
      <sz val="13"/>
      <name val="Arial"/>
      <family val="2"/>
    </font>
    <font>
      <sz val="10"/>
      <color indexed="10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5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Tahoma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Tahoma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>
        <color indexed="63"/>
      </right>
      <top/>
      <bottom style="thin">
        <color indexed="22"/>
      </bottom>
    </border>
    <border>
      <left style="thin">
        <color indexed="63"/>
      </left>
      <right style="double">
        <color indexed="63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/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22"/>
      </top>
      <bottom>
        <color indexed="63"/>
      </bottom>
    </border>
    <border>
      <left/>
      <right/>
      <top style="thick"/>
      <bottom style="thick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double"/>
      <top style="hair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28" borderId="0" applyNumberFormat="0" applyBorder="0" applyAlignment="0" applyProtection="0"/>
    <xf numFmtId="0" fontId="16" fillId="4" borderId="0" applyNumberFormat="0" applyBorder="0" applyAlignment="0" applyProtection="0"/>
    <xf numFmtId="0" fontId="17" fillId="30" borderId="1" applyNumberFormat="0" applyAlignment="0" applyProtection="0"/>
    <xf numFmtId="0" fontId="18" fillId="31" borderId="1" applyNumberFormat="0" applyAlignment="0" applyProtection="0"/>
    <xf numFmtId="0" fontId="19" fillId="32" borderId="2" applyNumberFormat="0" applyAlignment="0" applyProtection="0"/>
    <xf numFmtId="0" fontId="20" fillId="0" borderId="3" applyNumberFormat="0" applyFill="0" applyAlignment="0" applyProtection="0"/>
    <xf numFmtId="0" fontId="21" fillId="22" borderId="2" applyNumberFormat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9" borderId="0" applyNumberFormat="0" applyBorder="0" applyAlignment="0" applyProtection="0"/>
    <xf numFmtId="0" fontId="24" fillId="7" borderId="1" applyNumberFormat="0" applyAlignment="0" applyProtection="0"/>
    <xf numFmtId="177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0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44" fillId="0" borderId="0">
      <alignment/>
      <protection/>
    </xf>
    <xf numFmtId="173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9" fontId="44" fillId="0" borderId="0">
      <alignment/>
      <protection/>
    </xf>
    <xf numFmtId="0" fontId="69" fillId="0" borderId="0">
      <alignment/>
      <protection/>
    </xf>
    <xf numFmtId="0" fontId="5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2" borderId="8" applyNumberFormat="0" applyFont="0" applyAlignment="0" applyProtection="0"/>
    <xf numFmtId="0" fontId="0" fillId="28" borderId="8" applyNumberFormat="0" applyFont="0" applyAlignment="0" applyProtection="0"/>
    <xf numFmtId="0" fontId="34" fillId="3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120" applyFont="1">
      <alignment/>
      <protection/>
    </xf>
    <xf numFmtId="0" fontId="4" fillId="0" borderId="0" xfId="120" applyFont="1" applyAlignment="1" applyProtection="1">
      <alignment horizontal="centerContinuous" vertical="center"/>
      <protection/>
    </xf>
    <xf numFmtId="0" fontId="5" fillId="0" borderId="0" xfId="120" applyFont="1" applyAlignment="1" applyProtection="1">
      <alignment horizontal="left" vertical="center"/>
      <protection/>
    </xf>
    <xf numFmtId="0" fontId="6" fillId="0" borderId="0" xfId="120" applyFont="1" applyAlignment="1" applyProtection="1">
      <alignment horizontal="left" vertical="center"/>
      <protection/>
    </xf>
    <xf numFmtId="0" fontId="6" fillId="0" borderId="0" xfId="120" applyFont="1" applyAlignment="1" applyProtection="1">
      <alignment vertical="center"/>
      <protection/>
    </xf>
    <xf numFmtId="0" fontId="6" fillId="0" borderId="0" xfId="120" applyFont="1" applyProtection="1">
      <alignment/>
      <protection/>
    </xf>
    <xf numFmtId="0" fontId="2" fillId="0" borderId="0" xfId="120">
      <alignment/>
      <protection/>
    </xf>
    <xf numFmtId="0" fontId="4" fillId="0" borderId="0" xfId="120" applyFont="1" applyAlignment="1" applyProtection="1">
      <alignment horizontal="right"/>
      <protection/>
    </xf>
    <xf numFmtId="0" fontId="7" fillId="0" borderId="0" xfId="120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3" fontId="0" fillId="0" borderId="0" xfId="104" applyFont="1" applyAlignment="1">
      <alignment vertical="center"/>
    </xf>
    <xf numFmtId="43" fontId="0" fillId="0" borderId="0" xfId="104" applyFont="1" applyBorder="1" applyAlignment="1">
      <alignment vertical="center"/>
    </xf>
    <xf numFmtId="43" fontId="0" fillId="43" borderId="0" xfId="104" applyFont="1" applyFill="1" applyBorder="1" applyAlignment="1">
      <alignment vertical="center"/>
    </xf>
    <xf numFmtId="43" fontId="0" fillId="43" borderId="0" xfId="104" applyFont="1" applyFill="1" applyAlignment="1">
      <alignment vertical="center"/>
    </xf>
    <xf numFmtId="43" fontId="0" fillId="43" borderId="0" xfId="104" applyFont="1" applyFill="1" applyAlignment="1">
      <alignment vertical="center"/>
    </xf>
    <xf numFmtId="43" fontId="10" fillId="0" borderId="0" xfId="104" applyFont="1" applyAlignment="1">
      <alignment vertical="center"/>
    </xf>
    <xf numFmtId="43" fontId="10" fillId="0" borderId="0" xfId="104" applyFont="1" applyBorder="1" applyAlignment="1">
      <alignment vertical="center"/>
    </xf>
    <xf numFmtId="43" fontId="10" fillId="0" borderId="0" xfId="104" applyFont="1" applyFill="1" applyBorder="1" applyAlignment="1">
      <alignment vertical="center"/>
    </xf>
    <xf numFmtId="43" fontId="10" fillId="43" borderId="0" xfId="104" applyFont="1" applyFill="1" applyBorder="1" applyAlignment="1">
      <alignment vertical="center"/>
    </xf>
    <xf numFmtId="43" fontId="47" fillId="0" borderId="0" xfId="104" applyFont="1" applyAlignment="1">
      <alignment vertical="center"/>
    </xf>
    <xf numFmtId="43" fontId="49" fillId="0" borderId="0" xfId="104" applyFont="1" applyAlignment="1">
      <alignment vertical="center"/>
    </xf>
    <xf numFmtId="43" fontId="51" fillId="0" borderId="0" xfId="104" applyFont="1" applyAlignment="1">
      <alignment vertical="center" wrapText="1"/>
    </xf>
    <xf numFmtId="43" fontId="51" fillId="0" borderId="0" xfId="104" applyFont="1" applyAlignment="1">
      <alignment vertical="center"/>
    </xf>
    <xf numFmtId="43" fontId="51" fillId="0" borderId="0" xfId="104" applyFont="1" applyBorder="1" applyAlignment="1">
      <alignment vertical="center"/>
    </xf>
    <xf numFmtId="4" fontId="2" fillId="0" borderId="0" xfId="120" applyNumberFormat="1">
      <alignment/>
      <protection/>
    </xf>
    <xf numFmtId="0" fontId="7" fillId="0" borderId="0" xfId="120" applyFont="1" applyAlignment="1" applyProtection="1">
      <alignment horizontal="center" vertical="center" wrapText="1"/>
      <protection/>
    </xf>
    <xf numFmtId="0" fontId="8" fillId="0" borderId="14" xfId="120" applyFont="1" applyBorder="1" applyAlignment="1" applyProtection="1">
      <alignment horizontal="center"/>
      <protection/>
    </xf>
    <xf numFmtId="0" fontId="8" fillId="0" borderId="15" xfId="120" applyFont="1" applyBorder="1" applyAlignment="1" applyProtection="1">
      <alignment horizontal="center"/>
      <protection/>
    </xf>
    <xf numFmtId="0" fontId="9" fillId="0" borderId="15" xfId="120" applyFont="1" applyBorder="1" applyAlignment="1">
      <alignment horizontal="center"/>
      <protection/>
    </xf>
    <xf numFmtId="0" fontId="9" fillId="0" borderId="14" xfId="120" applyFont="1" applyBorder="1" applyAlignment="1">
      <alignment horizontal="center"/>
      <protection/>
    </xf>
    <xf numFmtId="0" fontId="4" fillId="0" borderId="16" xfId="120" applyFont="1" applyFill="1" applyBorder="1" applyAlignment="1" applyProtection="1">
      <alignment horizontal="center" vertical="center"/>
      <protection/>
    </xf>
    <xf numFmtId="0" fontId="4" fillId="0" borderId="17" xfId="120" applyFont="1" applyFill="1" applyBorder="1" applyAlignment="1" applyProtection="1">
      <alignment horizontal="center" vertical="center"/>
      <protection/>
    </xf>
    <xf numFmtId="39" fontId="4" fillId="0" borderId="17" xfId="120" applyNumberFormat="1" applyFont="1" applyFill="1" applyBorder="1" applyAlignment="1" applyProtection="1">
      <alignment horizontal="center"/>
      <protection/>
    </xf>
    <xf numFmtId="0" fontId="4" fillId="0" borderId="17" xfId="120" applyFont="1" applyFill="1" applyBorder="1" applyAlignment="1" applyProtection="1">
      <alignment horizontal="center" wrapText="1"/>
      <protection/>
    </xf>
    <xf numFmtId="0" fontId="4" fillId="0" borderId="18" xfId="120" applyFont="1" applyFill="1" applyBorder="1" applyAlignment="1" applyProtection="1">
      <alignment horizontal="center" wrapText="1"/>
      <protection/>
    </xf>
    <xf numFmtId="4" fontId="9" fillId="0" borderId="19" xfId="120" applyNumberFormat="1" applyFont="1" applyBorder="1">
      <alignment/>
      <protection/>
    </xf>
    <xf numFmtId="0" fontId="5" fillId="0" borderId="15" xfId="120" applyFont="1" applyBorder="1" applyAlignment="1" applyProtection="1">
      <alignment horizontal="center"/>
      <protection/>
    </xf>
    <xf numFmtId="4" fontId="9" fillId="0" borderId="14" xfId="120" applyNumberFormat="1" applyFont="1" applyBorder="1" applyAlignment="1">
      <alignment/>
      <protection/>
    </xf>
    <xf numFmtId="0" fontId="8" fillId="0" borderId="14" xfId="120" applyFont="1" applyBorder="1" applyAlignment="1" applyProtection="1">
      <alignment/>
      <protection/>
    </xf>
    <xf numFmtId="0" fontId="9" fillId="0" borderId="14" xfId="120" applyFont="1" applyBorder="1" applyAlignment="1">
      <alignment/>
      <protection/>
    </xf>
    <xf numFmtId="4" fontId="8" fillId="0" borderId="14" xfId="120" applyNumberFormat="1" applyFont="1" applyBorder="1" applyAlignment="1" applyProtection="1">
      <alignment horizontal="right"/>
      <protection/>
    </xf>
    <xf numFmtId="4" fontId="8" fillId="0" borderId="14" xfId="120" applyNumberFormat="1" applyFont="1" applyBorder="1" applyAlignment="1" applyProtection="1">
      <alignment/>
      <protection/>
    </xf>
    <xf numFmtId="0" fontId="55" fillId="0" borderId="0" xfId="120" applyFont="1">
      <alignment/>
      <protection/>
    </xf>
    <xf numFmtId="43" fontId="46" fillId="0" borderId="0" xfId="104" applyFont="1" applyAlignment="1">
      <alignment horizontal="center" vertical="center"/>
    </xf>
    <xf numFmtId="43" fontId="48" fillId="0" borderId="20" xfId="104" applyFont="1" applyBorder="1" applyAlignment="1">
      <alignment horizontal="center" vertical="center"/>
    </xf>
    <xf numFmtId="43" fontId="51" fillId="0" borderId="0" xfId="104" applyFont="1" applyFill="1" applyBorder="1" applyAlignment="1">
      <alignment vertical="center"/>
    </xf>
    <xf numFmtId="43" fontId="48" fillId="0" borderId="20" xfId="104" applyFont="1" applyBorder="1" applyAlignment="1">
      <alignment horizontal="left" vertical="center"/>
    </xf>
    <xf numFmtId="43" fontId="48" fillId="0" borderId="0" xfId="104" applyFont="1" applyBorder="1" applyAlignment="1">
      <alignment horizontal="center"/>
    </xf>
    <xf numFmtId="43" fontId="48" fillId="0" borderId="0" xfId="104" applyFont="1" applyBorder="1" applyAlignment="1">
      <alignment/>
    </xf>
    <xf numFmtId="43" fontId="54" fillId="0" borderId="0" xfId="104" applyFont="1" applyBorder="1" applyAlignment="1">
      <alignment horizontal="center" vertical="center"/>
    </xf>
    <xf numFmtId="0" fontId="9" fillId="0" borderId="21" xfId="120" applyFont="1" applyBorder="1" applyAlignment="1">
      <alignment/>
      <protection/>
    </xf>
    <xf numFmtId="0" fontId="3" fillId="0" borderId="22" xfId="125" applyFont="1" applyBorder="1" applyProtection="1">
      <alignment/>
      <protection/>
    </xf>
    <xf numFmtId="0" fontId="5" fillId="0" borderId="23" xfId="120" applyFont="1" applyFill="1" applyBorder="1" applyAlignment="1" applyProtection="1">
      <alignment horizontal="center" vertical="center"/>
      <protection/>
    </xf>
    <xf numFmtId="0" fontId="5" fillId="0" borderId="24" xfId="120" applyFont="1" applyFill="1" applyBorder="1" applyAlignment="1" applyProtection="1">
      <alignment horizontal="center" vertical="center"/>
      <protection/>
    </xf>
    <xf numFmtId="39" fontId="5" fillId="0" borderId="24" xfId="120" applyNumberFormat="1" applyFont="1" applyFill="1" applyBorder="1" applyAlignment="1" applyProtection="1">
      <alignment horizontal="center" vertical="center"/>
      <protection/>
    </xf>
    <xf numFmtId="0" fontId="5" fillId="0" borderId="24" xfId="120" applyFont="1" applyFill="1" applyBorder="1" applyAlignment="1" applyProtection="1">
      <alignment horizontal="center" vertical="center" wrapText="1"/>
      <protection/>
    </xf>
    <xf numFmtId="0" fontId="5" fillId="0" borderId="25" xfId="120" applyFont="1" applyFill="1" applyBorder="1" applyAlignment="1" applyProtection="1">
      <alignment horizontal="center" vertical="center" wrapText="1"/>
      <protection/>
    </xf>
    <xf numFmtId="43" fontId="53" fillId="0" borderId="0" xfId="89" applyFont="1" applyFill="1" applyBorder="1" applyAlignment="1">
      <alignment horizontal="center"/>
    </xf>
    <xf numFmtId="4" fontId="53" fillId="0" borderId="0" xfId="0" applyNumberFormat="1" applyFont="1" applyBorder="1" applyAlignment="1">
      <alignment/>
    </xf>
    <xf numFmtId="43" fontId="51" fillId="0" borderId="26" xfId="104" applyFont="1" applyBorder="1" applyAlignment="1">
      <alignment vertical="center"/>
    </xf>
    <xf numFmtId="43" fontId="51" fillId="0" borderId="27" xfId="104" applyFont="1" applyBorder="1" applyAlignment="1">
      <alignment vertical="center"/>
    </xf>
    <xf numFmtId="43" fontId="51" fillId="0" borderId="27" xfId="104" applyFont="1" applyFill="1" applyBorder="1" applyAlignment="1">
      <alignment vertical="center"/>
    </xf>
    <xf numFmtId="43" fontId="51" fillId="0" borderId="28" xfId="104" applyFont="1" applyBorder="1" applyAlignment="1">
      <alignment vertical="center"/>
    </xf>
    <xf numFmtId="43" fontId="54" fillId="0" borderId="0" xfId="104" applyFont="1" applyBorder="1" applyAlignment="1">
      <alignment vertical="center"/>
    </xf>
    <xf numFmtId="43" fontId="48" fillId="0" borderId="29" xfId="104" applyFont="1" applyFill="1" applyBorder="1" applyAlignment="1">
      <alignment horizontal="center" vertical="center" wrapText="1"/>
    </xf>
    <xf numFmtId="43" fontId="50" fillId="0" borderId="0" xfId="104" applyFont="1" applyBorder="1" applyAlignment="1">
      <alignment horizontal="left"/>
    </xf>
    <xf numFmtId="43" fontId="48" fillId="0" borderId="30" xfId="104" applyFont="1" applyFill="1" applyBorder="1" applyAlignment="1">
      <alignment horizontal="center" vertical="center" wrapText="1"/>
    </xf>
    <xf numFmtId="43" fontId="48" fillId="0" borderId="31" xfId="104" applyFont="1" applyFill="1" applyBorder="1" applyAlignment="1">
      <alignment horizontal="center" vertical="center" wrapText="1"/>
    </xf>
    <xf numFmtId="43" fontId="53" fillId="0" borderId="32" xfId="104" applyFont="1" applyBorder="1" applyAlignment="1">
      <alignment horizontal="center" vertical="center"/>
    </xf>
    <xf numFmtId="43" fontId="0" fillId="0" borderId="33" xfId="104" applyFont="1" applyBorder="1" applyAlignment="1">
      <alignment horizontal="center" vertical="center"/>
    </xf>
    <xf numFmtId="43" fontId="0" fillId="0" borderId="33" xfId="104" applyFont="1" applyBorder="1" applyAlignment="1">
      <alignment vertical="center"/>
    </xf>
    <xf numFmtId="43" fontId="0" fillId="0" borderId="33" xfId="104" applyNumberFormat="1" applyFont="1" applyBorder="1" applyAlignment="1">
      <alignment vertical="center"/>
    </xf>
    <xf numFmtId="43" fontId="0" fillId="0" borderId="34" xfId="104" applyFont="1" applyBorder="1" applyAlignment="1">
      <alignment vertical="center"/>
    </xf>
    <xf numFmtId="43" fontId="45" fillId="0" borderId="35" xfId="104" applyFont="1" applyBorder="1" applyAlignment="1">
      <alignment horizontal="center" vertical="center"/>
    </xf>
    <xf numFmtId="43" fontId="0" fillId="0" borderId="36" xfId="104" applyFont="1" applyBorder="1" applyAlignment="1">
      <alignment horizontal="center" vertical="center"/>
    </xf>
    <xf numFmtId="43" fontId="0" fillId="0" borderId="36" xfId="104" applyFont="1" applyBorder="1" applyAlignment="1">
      <alignment vertical="center"/>
    </xf>
    <xf numFmtId="39" fontId="0" fillId="0" borderId="36" xfId="104" applyNumberFormat="1" applyFont="1" applyBorder="1" applyAlignment="1">
      <alignment vertical="center"/>
    </xf>
    <xf numFmtId="43" fontId="0" fillId="0" borderId="37" xfId="104" applyFont="1" applyBorder="1" applyAlignment="1">
      <alignment vertical="center"/>
    </xf>
    <xf numFmtId="43" fontId="61" fillId="0" borderId="35" xfId="104" applyFont="1" applyBorder="1" applyAlignment="1">
      <alignment horizontal="center" vertical="center"/>
    </xf>
    <xf numFmtId="43" fontId="62" fillId="0" borderId="35" xfId="104" applyFont="1" applyBorder="1" applyAlignment="1">
      <alignment horizontal="center" vertical="center" wrapText="1"/>
    </xf>
    <xf numFmtId="1" fontId="0" fillId="0" borderId="36" xfId="104" applyNumberFormat="1" applyFont="1" applyBorder="1" applyAlignment="1">
      <alignment horizontal="center" vertical="center"/>
    </xf>
    <xf numFmtId="0" fontId="0" fillId="0" borderId="36" xfId="89" applyNumberFormat="1" applyFont="1" applyBorder="1" applyAlignment="1">
      <alignment horizontal="center" vertical="center"/>
    </xf>
    <xf numFmtId="43" fontId="9" fillId="0" borderId="36" xfId="104" applyFont="1" applyBorder="1" applyAlignment="1">
      <alignment horizontal="center" vertical="center"/>
    </xf>
    <xf numFmtId="43" fontId="45" fillId="0" borderId="38" xfId="104" applyFont="1" applyBorder="1" applyAlignment="1">
      <alignment horizontal="center" vertical="center"/>
    </xf>
    <xf numFmtId="43" fontId="0" fillId="0" borderId="39" xfId="104" applyFont="1" applyBorder="1" applyAlignment="1">
      <alignment horizontal="center" vertical="center"/>
    </xf>
    <xf numFmtId="43" fontId="0" fillId="0" borderId="39" xfId="104" applyFont="1" applyBorder="1" applyAlignment="1">
      <alignment vertical="center"/>
    </xf>
    <xf numFmtId="39" fontId="0" fillId="0" borderId="39" xfId="104" applyNumberFormat="1" applyFont="1" applyBorder="1" applyAlignment="1">
      <alignment vertical="center"/>
    </xf>
    <xf numFmtId="43" fontId="0" fillId="0" borderId="40" xfId="104" applyFont="1" applyBorder="1" applyAlignment="1">
      <alignment vertical="center"/>
    </xf>
    <xf numFmtId="43" fontId="45" fillId="0" borderId="41" xfId="104" applyFont="1" applyBorder="1" applyAlignment="1">
      <alignment horizontal="center" vertical="center"/>
    </xf>
    <xf numFmtId="43" fontId="0" fillId="0" borderId="42" xfId="104" applyFont="1" applyBorder="1" applyAlignment="1">
      <alignment horizontal="center" vertical="center"/>
    </xf>
    <xf numFmtId="43" fontId="0" fillId="0" borderId="42" xfId="104" applyFont="1" applyBorder="1" applyAlignment="1">
      <alignment vertical="center"/>
    </xf>
    <xf numFmtId="39" fontId="0" fillId="0" borderId="42" xfId="104" applyNumberFormat="1" applyFont="1" applyBorder="1" applyAlignment="1">
      <alignment vertical="center"/>
    </xf>
    <xf numFmtId="43" fontId="0" fillId="0" borderId="43" xfId="104" applyFont="1" applyBorder="1" applyAlignment="1">
      <alignment vertical="center"/>
    </xf>
    <xf numFmtId="43" fontId="62" fillId="0" borderId="41" xfId="104" applyFont="1" applyBorder="1" applyAlignment="1">
      <alignment horizontal="center" vertical="center"/>
    </xf>
    <xf numFmtId="0" fontId="54" fillId="31" borderId="44" xfId="120" applyFont="1" applyFill="1" applyBorder="1" applyAlignment="1">
      <alignment horizontal="center"/>
      <protection/>
    </xf>
    <xf numFmtId="0" fontId="0" fillId="0" borderId="44" xfId="120" applyFont="1" applyBorder="1">
      <alignment/>
      <protection/>
    </xf>
    <xf numFmtId="4" fontId="57" fillId="0" borderId="44" xfId="120" applyNumberFormat="1" applyFont="1" applyBorder="1" applyAlignment="1" applyProtection="1">
      <alignment/>
      <protection/>
    </xf>
    <xf numFmtId="4" fontId="57" fillId="0" borderId="44" xfId="120" applyNumberFormat="1" applyFont="1" applyBorder="1" applyAlignment="1" applyProtection="1">
      <alignment horizontal="center"/>
      <protection/>
    </xf>
    <xf numFmtId="4" fontId="55" fillId="0" borderId="44" xfId="120" applyNumberFormat="1" applyFont="1" applyBorder="1" applyAlignment="1" applyProtection="1">
      <alignment/>
      <protection/>
    </xf>
    <xf numFmtId="4" fontId="55" fillId="0" borderId="44" xfId="120" applyNumberFormat="1" applyFont="1" applyBorder="1" applyAlignment="1">
      <alignment/>
      <protection/>
    </xf>
    <xf numFmtId="4" fontId="55" fillId="0" borderId="44" xfId="120" applyNumberFormat="1" applyFont="1" applyBorder="1" applyAlignment="1">
      <alignment horizontal="center"/>
      <protection/>
    </xf>
    <xf numFmtId="4" fontId="55" fillId="0" borderId="44" xfId="120" applyNumberFormat="1" applyFont="1" applyFill="1" applyBorder="1" applyAlignment="1" applyProtection="1">
      <alignment/>
      <protection/>
    </xf>
    <xf numFmtId="4" fontId="55" fillId="0" borderId="44" xfId="120" applyNumberFormat="1" applyFont="1" applyFill="1" applyBorder="1" applyAlignment="1" applyProtection="1">
      <alignment horizontal="center"/>
      <protection/>
    </xf>
    <xf numFmtId="0" fontId="0" fillId="0" borderId="44" xfId="120" applyFont="1" applyBorder="1" applyAlignment="1">
      <alignment horizontal="center"/>
      <protection/>
    </xf>
    <xf numFmtId="4" fontId="55" fillId="0" borderId="44" xfId="120" applyNumberFormat="1" applyFont="1" applyBorder="1" applyAlignment="1" applyProtection="1">
      <alignment horizontal="center"/>
      <protection/>
    </xf>
    <xf numFmtId="4" fontId="55" fillId="0" borderId="44" xfId="120" applyNumberFormat="1" applyFont="1" applyFill="1" applyBorder="1" applyAlignment="1">
      <alignment/>
      <protection/>
    </xf>
    <xf numFmtId="4" fontId="57" fillId="0" borderId="44" xfId="120" applyNumberFormat="1" applyFont="1" applyBorder="1" applyAlignment="1">
      <alignment/>
      <protection/>
    </xf>
    <xf numFmtId="0" fontId="55" fillId="0" borderId="44" xfId="120" applyFont="1" applyBorder="1">
      <alignment/>
      <protection/>
    </xf>
    <xf numFmtId="39" fontId="3" fillId="0" borderId="44" xfId="120" applyNumberFormat="1" applyFont="1" applyBorder="1" applyProtection="1">
      <alignment/>
      <protection/>
    </xf>
    <xf numFmtId="0" fontId="3" fillId="0" borderId="0" xfId="125" applyFont="1" applyBorder="1" applyProtection="1">
      <alignment/>
      <protection/>
    </xf>
    <xf numFmtId="0" fontId="45" fillId="0" borderId="44" xfId="120" applyFont="1" applyBorder="1">
      <alignment/>
      <protection/>
    </xf>
    <xf numFmtId="43" fontId="0" fillId="0" borderId="0" xfId="89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89" applyFont="1" applyFill="1" applyBorder="1" applyAlignment="1">
      <alignment horizontal="left"/>
    </xf>
    <xf numFmtId="43" fontId="48" fillId="0" borderId="0" xfId="104" applyFont="1" applyAlignment="1">
      <alignment horizontal="left" vertical="center"/>
    </xf>
    <xf numFmtId="43" fontId="53" fillId="0" borderId="37" xfId="104" applyFont="1" applyBorder="1" applyAlignment="1">
      <alignment vertical="center"/>
    </xf>
    <xf numFmtId="43" fontId="59" fillId="0" borderId="0" xfId="104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5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4" fillId="0" borderId="44" xfId="120" applyFont="1" applyFill="1" applyBorder="1" applyAlignment="1">
      <alignment horizontal="center"/>
      <protection/>
    </xf>
    <xf numFmtId="43" fontId="0" fillId="0" borderId="0" xfId="89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89" applyFont="1" applyBorder="1" applyAlignment="1">
      <alignment/>
    </xf>
    <xf numFmtId="43" fontId="0" fillId="0" borderId="0" xfId="0" applyNumberFormat="1" applyFont="1" applyBorder="1" applyAlignment="1">
      <alignment/>
    </xf>
    <xf numFmtId="43" fontId="10" fillId="0" borderId="45" xfId="104" applyFont="1" applyBorder="1" applyAlignment="1">
      <alignment vertical="center"/>
    </xf>
    <xf numFmtId="43" fontId="0" fillId="0" borderId="46" xfId="104" applyFont="1" applyBorder="1" applyAlignment="1">
      <alignment/>
    </xf>
    <xf numFmtId="43" fontId="10" fillId="0" borderId="46" xfId="104" applyFont="1" applyBorder="1" applyAlignment="1">
      <alignment vertical="center"/>
    </xf>
    <xf numFmtId="43" fontId="53" fillId="0" borderId="47" xfId="104" applyFont="1" applyFill="1" applyBorder="1" applyAlignment="1">
      <alignment horizontal="center" vertical="center"/>
    </xf>
    <xf numFmtId="43" fontId="53" fillId="0" borderId="48" xfId="104" applyFont="1" applyFill="1" applyBorder="1" applyAlignment="1">
      <alignment horizontal="center" vertical="center" wrapText="1"/>
    </xf>
    <xf numFmtId="43" fontId="10" fillId="0" borderId="46" xfId="104" applyFont="1" applyBorder="1" applyAlignment="1">
      <alignment horizontal="right" vertical="center"/>
    </xf>
    <xf numFmtId="0" fontId="9" fillId="0" borderId="49" xfId="120" applyFont="1" applyBorder="1" applyAlignment="1">
      <alignment horizontal="center"/>
      <protection/>
    </xf>
    <xf numFmtId="0" fontId="9" fillId="0" borderId="21" xfId="120" applyFont="1" applyBorder="1" applyAlignment="1">
      <alignment horizontal="center"/>
      <protection/>
    </xf>
    <xf numFmtId="4" fontId="9" fillId="0" borderId="21" xfId="120" applyNumberFormat="1" applyFont="1" applyBorder="1" applyAlignment="1">
      <alignment/>
      <protection/>
    </xf>
    <xf numFmtId="4" fontId="9" fillId="0" borderId="50" xfId="120" applyNumberFormat="1" applyFont="1" applyBorder="1">
      <alignment/>
      <protection/>
    </xf>
    <xf numFmtId="43" fontId="53" fillId="0" borderId="0" xfId="89" applyFont="1" applyBorder="1" applyAlignment="1">
      <alignment horizontal="right"/>
    </xf>
    <xf numFmtId="43" fontId="0" fillId="0" borderId="0" xfId="89" applyFont="1" applyBorder="1" applyAlignment="1">
      <alignment/>
    </xf>
    <xf numFmtId="43" fontId="53" fillId="0" borderId="0" xfId="89" applyFont="1" applyBorder="1" applyAlignment="1">
      <alignment horizontal="center"/>
    </xf>
    <xf numFmtId="4" fontId="0" fillId="0" borderId="0" xfId="0" applyNumberFormat="1" applyFont="1" applyAlignment="1">
      <alignment/>
    </xf>
    <xf numFmtId="2" fontId="53" fillId="0" borderId="2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3" fillId="0" borderId="27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2" fontId="5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4" fontId="53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70" fillId="0" borderId="27" xfId="0" applyNumberFormat="1" applyFont="1" applyBorder="1" applyAlignment="1">
      <alignment/>
    </xf>
    <xf numFmtId="0" fontId="5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" fontId="53" fillId="0" borderId="0" xfId="0" applyNumberFormat="1" applyFont="1" applyFill="1" applyAlignment="1">
      <alignment horizontal="center"/>
    </xf>
    <xf numFmtId="4" fontId="53" fillId="0" borderId="27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53" fillId="4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2" fontId="56" fillId="0" borderId="0" xfId="0" applyNumberFormat="1" applyFont="1" applyAlignment="1">
      <alignment horizontal="center"/>
    </xf>
    <xf numFmtId="2" fontId="53" fillId="0" borderId="2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67" fillId="0" borderId="0" xfId="0" applyFont="1" applyAlignment="1">
      <alignment/>
    </xf>
    <xf numFmtId="2" fontId="53" fillId="0" borderId="51" xfId="0" applyNumberFormat="1" applyFont="1" applyFill="1" applyBorder="1" applyAlignment="1">
      <alignment/>
    </xf>
    <xf numFmtId="0" fontId="53" fillId="0" borderId="52" xfId="122" applyFont="1" applyFill="1" applyBorder="1" applyAlignment="1">
      <alignment horizontal="center"/>
      <protection/>
    </xf>
    <xf numFmtId="0" fontId="53" fillId="0" borderId="53" xfId="122" applyFont="1" applyBorder="1" applyAlignment="1">
      <alignment horizontal="center"/>
      <protection/>
    </xf>
    <xf numFmtId="0" fontId="53" fillId="0" borderId="53" xfId="122" applyFont="1" applyBorder="1" applyAlignment="1">
      <alignment horizontal="right"/>
      <protection/>
    </xf>
    <xf numFmtId="0" fontId="53" fillId="0" borderId="54" xfId="122" applyFont="1" applyBorder="1" applyAlignment="1">
      <alignment horizontal="right"/>
      <protection/>
    </xf>
    <xf numFmtId="0" fontId="53" fillId="0" borderId="55" xfId="122" applyFont="1" applyBorder="1" applyAlignment="1">
      <alignment horizontal="center"/>
      <protection/>
    </xf>
    <xf numFmtId="4" fontId="69" fillId="0" borderId="55" xfId="122" applyNumberFormat="1" applyBorder="1" applyAlignment="1">
      <alignment horizontal="right"/>
      <protection/>
    </xf>
    <xf numFmtId="4" fontId="69" fillId="0" borderId="56" xfId="122" applyNumberFormat="1" applyBorder="1" applyAlignment="1">
      <alignment horizontal="right"/>
      <protection/>
    </xf>
    <xf numFmtId="0" fontId="69" fillId="0" borderId="57" xfId="122" applyFill="1" applyBorder="1">
      <alignment/>
      <protection/>
    </xf>
    <xf numFmtId="0" fontId="53" fillId="0" borderId="58" xfId="122" applyFont="1" applyBorder="1">
      <alignment/>
      <protection/>
    </xf>
    <xf numFmtId="0" fontId="69" fillId="0" borderId="58" xfId="122" applyBorder="1" applyAlignment="1">
      <alignment horizontal="right"/>
      <protection/>
    </xf>
    <xf numFmtId="0" fontId="69" fillId="0" borderId="58" xfId="122" applyBorder="1" applyAlignment="1">
      <alignment horizontal="center"/>
      <protection/>
    </xf>
    <xf numFmtId="4" fontId="69" fillId="0" borderId="58" xfId="122" applyNumberFormat="1" applyBorder="1" applyAlignment="1">
      <alignment horizontal="right"/>
      <protection/>
    </xf>
    <xf numFmtId="4" fontId="69" fillId="0" borderId="59" xfId="122" applyNumberFormat="1" applyBorder="1" applyAlignment="1">
      <alignment horizontal="right"/>
      <protection/>
    </xf>
    <xf numFmtId="0" fontId="69" fillId="0" borderId="58" xfId="122" applyBorder="1">
      <alignment/>
      <protection/>
    </xf>
    <xf numFmtId="0" fontId="69" fillId="0" borderId="58" xfId="122" applyBorder="1" applyAlignment="1">
      <alignment horizontal="center" vertical="center"/>
      <protection/>
    </xf>
    <xf numFmtId="0" fontId="53" fillId="0" borderId="58" xfId="122" applyFont="1" applyBorder="1" applyAlignment="1">
      <alignment horizontal="right"/>
      <protection/>
    </xf>
    <xf numFmtId="4" fontId="53" fillId="0" borderId="59" xfId="122" applyNumberFormat="1" applyFont="1" applyBorder="1" applyAlignment="1">
      <alignment horizontal="right"/>
      <protection/>
    </xf>
    <xf numFmtId="0" fontId="71" fillId="0" borderId="57" xfId="122" applyFont="1" applyFill="1" applyBorder="1">
      <alignment/>
      <protection/>
    </xf>
    <xf numFmtId="2" fontId="69" fillId="0" borderId="58" xfId="122" applyNumberFormat="1" applyBorder="1" applyAlignment="1">
      <alignment horizontal="right"/>
      <protection/>
    </xf>
    <xf numFmtId="0" fontId="60" fillId="0" borderId="60" xfId="122" applyFont="1" applyFill="1" applyBorder="1" applyAlignment="1">
      <alignment horizontal="left" vertical="top" wrapText="1"/>
      <protection/>
    </xf>
    <xf numFmtId="0" fontId="0" fillId="0" borderId="0" xfId="122" applyFont="1" applyBorder="1" applyAlignment="1">
      <alignment horizontal="left" vertical="top" wrapText="1"/>
      <protection/>
    </xf>
    <xf numFmtId="4" fontId="0" fillId="0" borderId="0" xfId="122" applyNumberFormat="1" applyFont="1" applyBorder="1" applyAlignment="1">
      <alignment horizontal="right" vertical="top" wrapText="1"/>
      <protection/>
    </xf>
    <xf numFmtId="0" fontId="0" fillId="0" borderId="0" xfId="122" applyFont="1" applyBorder="1" applyAlignment="1">
      <alignment horizontal="center" vertical="top" wrapText="1"/>
      <protection/>
    </xf>
    <xf numFmtId="4" fontId="0" fillId="0" borderId="61" xfId="122" applyNumberFormat="1" applyFont="1" applyBorder="1" applyAlignment="1">
      <alignment horizontal="right" vertical="top" wrapText="1"/>
      <protection/>
    </xf>
    <xf numFmtId="0" fontId="0" fillId="0" borderId="58" xfId="122" applyFont="1" applyBorder="1" applyAlignment="1">
      <alignment wrapText="1"/>
      <protection/>
    </xf>
    <xf numFmtId="4" fontId="69" fillId="0" borderId="58" xfId="122" applyNumberFormat="1" applyBorder="1" applyAlignment="1">
      <alignment horizontal="right" vertical="center"/>
      <protection/>
    </xf>
    <xf numFmtId="4" fontId="69" fillId="0" borderId="59" xfId="122" applyNumberFormat="1" applyBorder="1" applyAlignment="1">
      <alignment horizontal="right" vertical="center"/>
      <protection/>
    </xf>
    <xf numFmtId="0" fontId="0" fillId="0" borderId="58" xfId="122" applyFont="1" applyBorder="1">
      <alignment/>
      <protection/>
    </xf>
    <xf numFmtId="4" fontId="0" fillId="0" borderId="58" xfId="122" applyNumberFormat="1" applyFont="1" applyBorder="1" applyAlignment="1">
      <alignment horizontal="right"/>
      <protection/>
    </xf>
    <xf numFmtId="0" fontId="69" fillId="0" borderId="62" xfId="122" applyFill="1" applyBorder="1">
      <alignment/>
      <protection/>
    </xf>
    <xf numFmtId="0" fontId="53" fillId="0" borderId="63" xfId="122" applyFont="1" applyBorder="1" applyAlignment="1">
      <alignment horizontal="right" wrapText="1"/>
      <protection/>
    </xf>
    <xf numFmtId="4" fontId="69" fillId="0" borderId="64" xfId="122" applyNumberFormat="1" applyBorder="1" applyAlignment="1">
      <alignment horizontal="right"/>
      <protection/>
    </xf>
    <xf numFmtId="0" fontId="69" fillId="0" borderId="64" xfId="122" applyBorder="1" applyAlignment="1">
      <alignment horizontal="center" vertical="center"/>
      <protection/>
    </xf>
    <xf numFmtId="4" fontId="53" fillId="0" borderId="65" xfId="122" applyNumberFormat="1" applyFont="1" applyBorder="1" applyAlignment="1">
      <alignment horizontal="right" vertical="center"/>
      <protection/>
    </xf>
    <xf numFmtId="4" fontId="6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53" fillId="45" borderId="0" xfId="0" applyFont="1" applyFill="1" applyAlignment="1">
      <alignment/>
    </xf>
    <xf numFmtId="0" fontId="53" fillId="45" borderId="0" xfId="0" applyFont="1" applyFill="1" applyAlignment="1">
      <alignment horizontal="left"/>
    </xf>
    <xf numFmtId="4" fontId="53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left"/>
    </xf>
    <xf numFmtId="0" fontId="0" fillId="45" borderId="0" xfId="0" applyFill="1" applyAlignment="1">
      <alignment horizontal="center"/>
    </xf>
    <xf numFmtId="4" fontId="0" fillId="45" borderId="0" xfId="0" applyNumberFormat="1" applyFill="1" applyAlignment="1">
      <alignment horizontal="center"/>
    </xf>
    <xf numFmtId="4" fontId="0" fillId="45" borderId="0" xfId="0" applyNumberFormat="1" applyFill="1" applyAlignment="1">
      <alignment/>
    </xf>
    <xf numFmtId="2" fontId="0" fillId="45" borderId="0" xfId="0" applyNumberFormat="1" applyFill="1" applyAlignment="1">
      <alignment horizontal="left"/>
    </xf>
    <xf numFmtId="39" fontId="4" fillId="45" borderId="0" xfId="0" applyNumberFormat="1" applyFont="1" applyFill="1" applyAlignment="1" applyProtection="1">
      <alignment/>
      <protection/>
    </xf>
    <xf numFmtId="4" fontId="0" fillId="45" borderId="0" xfId="0" applyNumberFormat="1" applyFont="1" applyFill="1" applyAlignment="1">
      <alignment horizontal="center"/>
    </xf>
    <xf numFmtId="2" fontId="53" fillId="46" borderId="27" xfId="0" applyNumberFormat="1" applyFont="1" applyFill="1" applyBorder="1" applyAlignment="1">
      <alignment/>
    </xf>
    <xf numFmtId="39" fontId="3" fillId="45" borderId="0" xfId="0" applyNumberFormat="1" applyFont="1" applyFill="1" applyAlignment="1" applyProtection="1">
      <alignment/>
      <protection/>
    </xf>
    <xf numFmtId="39" fontId="4" fillId="45" borderId="0" xfId="0" applyNumberFormat="1" applyFont="1" applyFill="1" applyAlignment="1" applyProtection="1">
      <alignment horizontal="center"/>
      <protection/>
    </xf>
    <xf numFmtId="39" fontId="53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0" fontId="67" fillId="0" borderId="0" xfId="0" applyFont="1" applyFill="1" applyBorder="1" applyAlignment="1">
      <alignment/>
    </xf>
    <xf numFmtId="4" fontId="67" fillId="0" borderId="0" xfId="89" applyNumberFormat="1" applyFont="1" applyFill="1" applyBorder="1" applyAlignment="1">
      <alignment horizontal="right"/>
    </xf>
    <xf numFmtId="4" fontId="67" fillId="0" borderId="0" xfId="0" applyNumberFormat="1" applyFont="1" applyFill="1" applyBorder="1" applyAlignment="1">
      <alignment horizontal="center"/>
    </xf>
    <xf numFmtId="0" fontId="53" fillId="41" borderId="0" xfId="0" applyFont="1" applyFill="1" applyAlignment="1">
      <alignment/>
    </xf>
    <xf numFmtId="4" fontId="53" fillId="41" borderId="0" xfId="0" applyNumberFormat="1" applyFont="1" applyFill="1" applyAlignment="1">
      <alignment/>
    </xf>
    <xf numFmtId="4" fontId="53" fillId="41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39" fontId="4" fillId="41" borderId="0" xfId="0" applyNumberFormat="1" applyFont="1" applyFill="1" applyAlignment="1" applyProtection="1">
      <alignment/>
      <protection/>
    </xf>
    <xf numFmtId="43" fontId="72" fillId="41" borderId="0" xfId="89" applyFont="1" applyFill="1" applyAlignment="1" applyProtection="1" quotePrefix="1">
      <alignment horizontal="left"/>
      <protection/>
    </xf>
    <xf numFmtId="0" fontId="53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9" fontId="4" fillId="0" borderId="0" xfId="0" applyNumberFormat="1" applyFont="1" applyFill="1" applyAlignment="1" applyProtection="1">
      <alignment/>
      <protection/>
    </xf>
    <xf numFmtId="0" fontId="55" fillId="0" borderId="44" xfId="120" applyFont="1" applyBorder="1" applyAlignment="1">
      <alignment horizontal="center"/>
      <protection/>
    </xf>
    <xf numFmtId="43" fontId="55" fillId="0" borderId="44" xfId="89" applyFont="1" applyBorder="1" applyAlignment="1">
      <alignment/>
    </xf>
    <xf numFmtId="43" fontId="55" fillId="0" borderId="44" xfId="89" applyFont="1" applyBorder="1" applyAlignment="1">
      <alignment/>
    </xf>
    <xf numFmtId="0" fontId="53" fillId="0" borderId="44" xfId="120" applyFont="1" applyBorder="1">
      <alignment/>
      <protection/>
    </xf>
    <xf numFmtId="4" fontId="58" fillId="0" borderId="44" xfId="120" applyNumberFormat="1" applyFont="1" applyBorder="1" applyAlignment="1" applyProtection="1">
      <alignment/>
      <protection/>
    </xf>
    <xf numFmtId="4" fontId="58" fillId="0" borderId="44" xfId="120" applyNumberFormat="1" applyFont="1" applyBorder="1" applyAlignment="1" applyProtection="1">
      <alignment horizontal="center"/>
      <protection/>
    </xf>
    <xf numFmtId="4" fontId="54" fillId="0" borderId="44" xfId="120" applyNumberFormat="1" applyFont="1" applyBorder="1" applyAlignment="1" applyProtection="1">
      <alignment/>
      <protection/>
    </xf>
    <xf numFmtId="0" fontId="53" fillId="0" borderId="0" xfId="120" applyFont="1">
      <alignment/>
      <protection/>
    </xf>
    <xf numFmtId="0" fontId="53" fillId="0" borderId="44" xfId="120" applyFont="1" applyBorder="1" applyAlignment="1">
      <alignment horizontal="center"/>
      <protection/>
    </xf>
    <xf numFmtId="0" fontId="54" fillId="0" borderId="44" xfId="120" applyFont="1" applyBorder="1">
      <alignment/>
      <protection/>
    </xf>
    <xf numFmtId="0" fontId="54" fillId="0" borderId="44" xfId="120" applyFont="1" applyBorder="1" applyAlignment="1">
      <alignment horizontal="center"/>
      <protection/>
    </xf>
    <xf numFmtId="4" fontId="54" fillId="0" borderId="44" xfId="120" applyNumberFormat="1" applyFont="1" applyBorder="1">
      <alignment/>
      <protection/>
    </xf>
    <xf numFmtId="0" fontId="54" fillId="0" borderId="0" xfId="120" applyFont="1">
      <alignment/>
      <protection/>
    </xf>
    <xf numFmtId="4" fontId="54" fillId="0" borderId="44" xfId="120" applyNumberFormat="1" applyFont="1" applyBorder="1" applyAlignment="1">
      <alignment/>
      <protection/>
    </xf>
    <xf numFmtId="4" fontId="54" fillId="0" borderId="44" xfId="120" applyNumberFormat="1" applyFont="1" applyBorder="1" applyAlignment="1">
      <alignment horizontal="center"/>
      <protection/>
    </xf>
    <xf numFmtId="4" fontId="54" fillId="0" borderId="44" xfId="120" applyNumberFormat="1" applyFont="1" applyFill="1" applyBorder="1" applyAlignment="1" applyProtection="1">
      <alignment/>
      <protection/>
    </xf>
    <xf numFmtId="4" fontId="54" fillId="0" borderId="44" xfId="120" applyNumberFormat="1" applyFont="1" applyBorder="1" applyAlignment="1" applyProtection="1">
      <alignment horizontal="center"/>
      <protection/>
    </xf>
    <xf numFmtId="0" fontId="54" fillId="0" borderId="44" xfId="120" applyFont="1" applyBorder="1" applyAlignment="1">
      <alignment/>
      <protection/>
    </xf>
    <xf numFmtId="43" fontId="54" fillId="0" borderId="44" xfId="89" applyFont="1" applyBorder="1" applyAlignment="1">
      <alignment/>
    </xf>
    <xf numFmtId="43" fontId="54" fillId="0" borderId="44" xfId="89" applyFont="1" applyBorder="1" applyAlignment="1">
      <alignment/>
    </xf>
    <xf numFmtId="0" fontId="5" fillId="0" borderId="14" xfId="120" applyFont="1" applyBorder="1" applyAlignment="1" applyProtection="1">
      <alignment horizontal="left"/>
      <protection/>
    </xf>
    <xf numFmtId="0" fontId="5" fillId="0" borderId="14" xfId="120" applyFont="1" applyBorder="1" applyAlignment="1" applyProtection="1">
      <alignment horizontal="center"/>
      <protection/>
    </xf>
    <xf numFmtId="4" fontId="5" fillId="0" borderId="14" xfId="120" applyNumberFormat="1" applyFont="1" applyBorder="1" applyAlignment="1" applyProtection="1">
      <alignment horizontal="right"/>
      <protection/>
    </xf>
    <xf numFmtId="4" fontId="61" fillId="0" borderId="14" xfId="120" applyNumberFormat="1" applyFont="1" applyBorder="1" applyAlignment="1">
      <alignment/>
      <protection/>
    </xf>
    <xf numFmtId="4" fontId="61" fillId="0" borderId="19" xfId="120" applyNumberFormat="1" applyFont="1" applyBorder="1">
      <alignment/>
      <protection/>
    </xf>
    <xf numFmtId="0" fontId="5" fillId="0" borderId="14" xfId="120" applyFont="1" applyBorder="1" applyAlignment="1" applyProtection="1">
      <alignment/>
      <protection/>
    </xf>
    <xf numFmtId="4" fontId="5" fillId="0" borderId="14" xfId="120" applyNumberFormat="1" applyFont="1" applyBorder="1" applyAlignment="1" applyProtection="1">
      <alignment/>
      <protection/>
    </xf>
    <xf numFmtId="0" fontId="62" fillId="0" borderId="0" xfId="120" applyFont="1">
      <alignment/>
      <protection/>
    </xf>
    <xf numFmtId="0" fontId="61" fillId="0" borderId="15" xfId="120" applyFont="1" applyBorder="1" applyAlignment="1">
      <alignment horizontal="center"/>
      <protection/>
    </xf>
    <xf numFmtId="0" fontId="61" fillId="0" borderId="14" xfId="120" applyFont="1" applyBorder="1" applyAlignment="1">
      <alignment/>
      <protection/>
    </xf>
    <xf numFmtId="0" fontId="61" fillId="0" borderId="14" xfId="120" applyFont="1" applyBorder="1" applyAlignment="1">
      <alignment horizontal="center"/>
      <protection/>
    </xf>
    <xf numFmtId="0" fontId="4" fillId="0" borderId="0" xfId="125" applyFont="1" applyBorder="1" applyProtection="1">
      <alignment/>
      <protection/>
    </xf>
    <xf numFmtId="0" fontId="61" fillId="0" borderId="17" xfId="120" applyFont="1" applyBorder="1" applyAlignment="1">
      <alignment/>
      <protection/>
    </xf>
    <xf numFmtId="0" fontId="61" fillId="0" borderId="16" xfId="120" applyFont="1" applyBorder="1" applyAlignment="1">
      <alignment horizontal="center" wrapText="1"/>
      <protection/>
    </xf>
    <xf numFmtId="0" fontId="61" fillId="0" borderId="14" xfId="120" applyFont="1" applyBorder="1" applyAlignment="1">
      <alignment wrapText="1"/>
      <protection/>
    </xf>
    <xf numFmtId="0" fontId="61" fillId="0" borderId="17" xfId="120" applyFont="1" applyBorder="1" applyAlignment="1">
      <alignment horizontal="center"/>
      <protection/>
    </xf>
    <xf numFmtId="4" fontId="61" fillId="0" borderId="17" xfId="89" applyNumberFormat="1" applyFont="1" applyBorder="1" applyAlignment="1">
      <alignment horizontal="right"/>
    </xf>
    <xf numFmtId="0" fontId="61" fillId="0" borderId="49" xfId="120" applyFont="1" applyBorder="1" applyAlignment="1">
      <alignment horizontal="center"/>
      <protection/>
    </xf>
    <xf numFmtId="0" fontId="61" fillId="0" borderId="21" xfId="120" applyFont="1" applyBorder="1" applyAlignment="1">
      <alignment/>
      <protection/>
    </xf>
    <xf numFmtId="0" fontId="61" fillId="0" borderId="21" xfId="120" applyFont="1" applyBorder="1" applyAlignment="1">
      <alignment horizontal="center"/>
      <protection/>
    </xf>
    <xf numFmtId="4" fontId="61" fillId="0" borderId="21" xfId="120" applyNumberFormat="1" applyFont="1" applyBorder="1" applyAlignment="1">
      <alignment/>
      <protection/>
    </xf>
    <xf numFmtId="4" fontId="61" fillId="0" borderId="50" xfId="120" applyNumberFormat="1" applyFont="1" applyBorder="1">
      <alignment/>
      <protection/>
    </xf>
    <xf numFmtId="0" fontId="61" fillId="0" borderId="0" xfId="120" applyFont="1">
      <alignment/>
      <protection/>
    </xf>
    <xf numFmtId="4" fontId="54" fillId="0" borderId="44" xfId="120" applyNumberFormat="1" applyFont="1" applyFill="1" applyBorder="1" applyAlignment="1" applyProtection="1">
      <alignment horizontal="center"/>
      <protection/>
    </xf>
    <xf numFmtId="4" fontId="54" fillId="0" borderId="44" xfId="89" applyNumberFormat="1" applyFont="1" applyFill="1" applyBorder="1" applyAlignment="1">
      <alignment/>
    </xf>
    <xf numFmtId="0" fontId="53" fillId="0" borderId="66" xfId="120" applyFont="1" applyBorder="1">
      <alignment/>
      <protection/>
    </xf>
    <xf numFmtId="0" fontId="61" fillId="0" borderId="67" xfId="120" applyFont="1" applyBorder="1" applyAlignment="1">
      <alignment horizontal="center"/>
      <protection/>
    </xf>
    <xf numFmtId="0" fontId="61" fillId="0" borderId="68" xfId="120" applyFont="1" applyBorder="1">
      <alignment/>
      <protection/>
    </xf>
    <xf numFmtId="0" fontId="61" fillId="0" borderId="68" xfId="120" applyFont="1" applyBorder="1" applyAlignment="1">
      <alignment horizontal="center"/>
      <protection/>
    </xf>
    <xf numFmtId="4" fontId="61" fillId="0" borderId="68" xfId="120" applyNumberFormat="1" applyFont="1" applyBorder="1">
      <alignment/>
      <protection/>
    </xf>
    <xf numFmtId="4" fontId="61" fillId="0" borderId="69" xfId="120" applyNumberFormat="1" applyFont="1" applyBorder="1">
      <alignment/>
      <protection/>
    </xf>
    <xf numFmtId="0" fontId="61" fillId="0" borderId="70" xfId="120" applyFont="1" applyBorder="1" applyAlignment="1">
      <alignment horizontal="center"/>
      <protection/>
    </xf>
    <xf numFmtId="0" fontId="61" fillId="0" borderId="71" xfId="120" applyFont="1" applyBorder="1" applyAlignment="1">
      <alignment horizontal="center"/>
      <protection/>
    </xf>
    <xf numFmtId="4" fontId="5" fillId="0" borderId="71" xfId="120" applyNumberFormat="1" applyFont="1" applyBorder="1" applyAlignment="1" applyProtection="1">
      <alignment horizontal="right"/>
      <protection/>
    </xf>
    <xf numFmtId="4" fontId="5" fillId="0" borderId="71" xfId="120" applyNumberFormat="1" applyFont="1" applyBorder="1" applyAlignment="1" applyProtection="1">
      <alignment/>
      <protection/>
    </xf>
    <xf numFmtId="4" fontId="61" fillId="0" borderId="71" xfId="120" applyNumberFormat="1" applyFont="1" applyBorder="1" applyAlignment="1">
      <alignment/>
      <protection/>
    </xf>
    <xf numFmtId="4" fontId="61" fillId="0" borderId="72" xfId="120" applyNumberFormat="1" applyFont="1" applyBorder="1">
      <alignment/>
      <protection/>
    </xf>
    <xf numFmtId="0" fontId="5" fillId="0" borderId="71" xfId="125" applyFont="1" applyBorder="1" applyProtection="1">
      <alignment/>
      <protection/>
    </xf>
    <xf numFmtId="0" fontId="0" fillId="0" borderId="66" xfId="120" applyFont="1" applyBorder="1">
      <alignment/>
      <protection/>
    </xf>
    <xf numFmtId="4" fontId="54" fillId="0" borderId="44" xfId="120" applyNumberFormat="1" applyFont="1" applyFill="1" applyBorder="1">
      <alignment/>
      <protection/>
    </xf>
    <xf numFmtId="43" fontId="55" fillId="0" borderId="44" xfId="89" applyFont="1" applyFill="1" applyBorder="1" applyAlignment="1">
      <alignment/>
    </xf>
    <xf numFmtId="4" fontId="55" fillId="0" borderId="44" xfId="120" applyNumberFormat="1" applyFont="1" applyBorder="1" applyAlignment="1">
      <alignment wrapText="1"/>
      <protection/>
    </xf>
    <xf numFmtId="0" fontId="53" fillId="0" borderId="73" xfId="120" applyFont="1" applyBorder="1">
      <alignment/>
      <protection/>
    </xf>
    <xf numFmtId="0" fontId="0" fillId="0" borderId="73" xfId="120" applyFont="1" applyBorder="1">
      <alignment/>
      <protection/>
    </xf>
    <xf numFmtId="0" fontId="54" fillId="0" borderId="73" xfId="120" applyFont="1" applyBorder="1">
      <alignment/>
      <protection/>
    </xf>
    <xf numFmtId="0" fontId="65" fillId="0" borderId="73" xfId="120" applyFont="1" applyBorder="1">
      <alignment/>
      <protection/>
    </xf>
    <xf numFmtId="0" fontId="73" fillId="0" borderId="73" xfId="120" applyFont="1" applyBorder="1">
      <alignment/>
      <protection/>
    </xf>
    <xf numFmtId="0" fontId="53" fillId="0" borderId="74" xfId="120" applyFont="1" applyBorder="1">
      <alignment/>
      <protection/>
    </xf>
    <xf numFmtId="0" fontId="0" fillId="0" borderId="75" xfId="120" applyFont="1" applyBorder="1">
      <alignment/>
      <protection/>
    </xf>
    <xf numFmtId="0" fontId="0" fillId="0" borderId="0" xfId="120" applyFont="1" applyBorder="1">
      <alignment/>
      <protection/>
    </xf>
    <xf numFmtId="0" fontId="53" fillId="0" borderId="0" xfId="120" applyFont="1" applyBorder="1">
      <alignment/>
      <protection/>
    </xf>
    <xf numFmtId="0" fontId="0" fillId="0" borderId="0" xfId="120" applyFont="1" applyBorder="1">
      <alignment/>
      <protection/>
    </xf>
    <xf numFmtId="0" fontId="3" fillId="0" borderId="0" xfId="120" applyFont="1" applyBorder="1" applyAlignment="1" applyProtection="1">
      <alignment vertical="center"/>
      <protection/>
    </xf>
    <xf numFmtId="0" fontId="54" fillId="0" borderId="0" xfId="120" applyFont="1" applyBorder="1">
      <alignment/>
      <protection/>
    </xf>
    <xf numFmtId="0" fontId="4" fillId="0" borderId="0" xfId="120" applyFont="1" applyBorder="1" applyAlignment="1" applyProtection="1">
      <alignment vertical="center"/>
      <protection/>
    </xf>
    <xf numFmtId="0" fontId="0" fillId="0" borderId="0" xfId="120" applyFont="1" applyBorder="1" applyAlignment="1" applyProtection="1">
      <alignment vertical="center"/>
      <protection/>
    </xf>
    <xf numFmtId="0" fontId="3" fillId="0" borderId="0" xfId="120" applyFont="1" applyBorder="1" applyProtection="1">
      <alignment/>
      <protection/>
    </xf>
    <xf numFmtId="0" fontId="4" fillId="0" borderId="0" xfId="120" applyFont="1" applyBorder="1" applyAlignment="1" applyProtection="1">
      <alignment horizontal="centerContinuous" vertical="center"/>
      <protection/>
    </xf>
    <xf numFmtId="0" fontId="65" fillId="0" borderId="0" xfId="120" applyFont="1" applyBorder="1" applyAlignment="1" applyProtection="1">
      <alignment vertical="center"/>
      <protection/>
    </xf>
    <xf numFmtId="0" fontId="73" fillId="0" borderId="0" xfId="120" applyFont="1" applyBorder="1" applyAlignment="1" applyProtection="1">
      <alignment vertical="center"/>
      <protection/>
    </xf>
    <xf numFmtId="0" fontId="55" fillId="0" borderId="0" xfId="120" applyFont="1" applyBorder="1" applyAlignment="1" applyProtection="1">
      <alignment vertical="center"/>
      <protection/>
    </xf>
    <xf numFmtId="0" fontId="54" fillId="0" borderId="0" xfId="120" applyFont="1" applyBorder="1" applyAlignment="1" applyProtection="1">
      <alignment horizontal="center" vertical="center"/>
      <protection/>
    </xf>
    <xf numFmtId="0" fontId="0" fillId="0" borderId="0" xfId="120" applyFont="1" applyBorder="1" applyAlignment="1">
      <alignment horizontal="center"/>
      <protection/>
    </xf>
    <xf numFmtId="0" fontId="54" fillId="0" borderId="0" xfId="120" applyFont="1" applyBorder="1" applyAlignment="1" applyProtection="1">
      <alignment horizontal="right" vertical="center"/>
      <protection/>
    </xf>
    <xf numFmtId="14" fontId="54" fillId="0" borderId="0" xfId="120" applyNumberFormat="1" applyFont="1" applyBorder="1" applyAlignment="1" applyProtection="1">
      <alignment horizontal="right" vertical="center"/>
      <protection/>
    </xf>
    <xf numFmtId="0" fontId="54" fillId="0" borderId="0" xfId="120" applyFont="1" applyBorder="1" applyAlignment="1" applyProtection="1">
      <alignment horizontal="centerContinuous" vertical="center"/>
      <protection/>
    </xf>
    <xf numFmtId="0" fontId="54" fillId="0" borderId="0" xfId="120" applyFont="1" applyBorder="1" applyAlignment="1" applyProtection="1">
      <alignment vertical="center"/>
      <protection/>
    </xf>
    <xf numFmtId="4" fontId="55" fillId="0" borderId="0" xfId="120" applyNumberFormat="1" applyFont="1" applyBorder="1" applyAlignment="1" applyProtection="1">
      <alignment/>
      <protection/>
    </xf>
    <xf numFmtId="0" fontId="55" fillId="0" borderId="0" xfId="120" applyFont="1" applyBorder="1">
      <alignment/>
      <protection/>
    </xf>
    <xf numFmtId="0" fontId="53" fillId="0" borderId="0" xfId="0" applyFont="1" applyAlignment="1">
      <alignment horizontal="center" wrapText="1"/>
    </xf>
    <xf numFmtId="43" fontId="0" fillId="0" borderId="0" xfId="89" applyFont="1" applyAlignment="1">
      <alignment horizontal="center"/>
    </xf>
    <xf numFmtId="43" fontId="53" fillId="0" borderId="0" xfId="89" applyFont="1" applyAlignment="1">
      <alignment horizontal="center"/>
    </xf>
    <xf numFmtId="43" fontId="68" fillId="0" borderId="44" xfId="89" applyFont="1" applyBorder="1" applyAlignment="1">
      <alignment/>
    </xf>
    <xf numFmtId="39" fontId="4" fillId="0" borderId="44" xfId="120" applyNumberFormat="1" applyFont="1" applyBorder="1" applyProtection="1">
      <alignment/>
      <protection/>
    </xf>
    <xf numFmtId="4" fontId="83" fillId="0" borderId="14" xfId="120" applyNumberFormat="1" applyFont="1" applyBorder="1" applyAlignment="1">
      <alignment/>
      <protection/>
    </xf>
    <xf numFmtId="4" fontId="58" fillId="0" borderId="44" xfId="120" applyNumberFormat="1" applyFont="1" applyFill="1" applyBorder="1" applyAlignment="1" applyProtection="1">
      <alignment/>
      <protection/>
    </xf>
    <xf numFmtId="0" fontId="54" fillId="0" borderId="44" xfId="120" applyFont="1" applyBorder="1" applyAlignment="1">
      <alignment wrapText="1"/>
      <protection/>
    </xf>
    <xf numFmtId="43" fontId="54" fillId="0" borderId="44" xfId="89" applyFont="1" applyBorder="1" applyAlignment="1" applyProtection="1">
      <alignment/>
      <protection/>
    </xf>
    <xf numFmtId="2" fontId="54" fillId="0" borderId="44" xfId="120" applyNumberFormat="1" applyFont="1" applyBorder="1" applyAlignment="1">
      <alignment/>
      <protection/>
    </xf>
    <xf numFmtId="43" fontId="54" fillId="0" borderId="44" xfId="89" applyFont="1" applyFill="1" applyBorder="1" applyAlignment="1">
      <alignment/>
    </xf>
    <xf numFmtId="191" fontId="54" fillId="0" borderId="44" xfId="89" applyNumberFormat="1" applyFont="1" applyBorder="1" applyAlignment="1">
      <alignment/>
    </xf>
    <xf numFmtId="43" fontId="0" fillId="0" borderId="0" xfId="89" applyFont="1" applyAlignment="1">
      <alignment/>
    </xf>
    <xf numFmtId="43" fontId="54" fillId="0" borderId="0" xfId="89" applyFont="1" applyAlignment="1">
      <alignment/>
    </xf>
    <xf numFmtId="14" fontId="53" fillId="0" borderId="0" xfId="120" applyNumberFormat="1" applyFont="1" applyBorder="1">
      <alignment/>
      <protection/>
    </xf>
    <xf numFmtId="4" fontId="54" fillId="0" borderId="76" xfId="120" applyNumberFormat="1" applyFont="1" applyBorder="1" applyAlignment="1" applyProtection="1">
      <alignment/>
      <protection/>
    </xf>
    <xf numFmtId="14" fontId="53" fillId="0" borderId="48" xfId="120" applyNumberFormat="1" applyFont="1" applyBorder="1">
      <alignment/>
      <protection/>
    </xf>
    <xf numFmtId="43" fontId="84" fillId="0" borderId="0" xfId="104" applyFont="1" applyBorder="1" applyAlignment="1">
      <alignment vertical="center"/>
    </xf>
    <xf numFmtId="43" fontId="84" fillId="0" borderId="0" xfId="104" applyFont="1" applyAlignment="1">
      <alignment vertical="center"/>
    </xf>
    <xf numFmtId="14" fontId="0" fillId="0" borderId="75" xfId="120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4" fontId="54" fillId="47" borderId="44" xfId="120" applyNumberFormat="1" applyFont="1" applyFill="1" applyBorder="1" applyAlignment="1" applyProtection="1">
      <alignment/>
      <protection/>
    </xf>
    <xf numFmtId="4" fontId="53" fillId="0" borderId="0" xfId="120" applyNumberFormat="1" applyFont="1" applyBorder="1">
      <alignment/>
      <protection/>
    </xf>
    <xf numFmtId="43" fontId="2" fillId="0" borderId="0" xfId="89" applyFont="1" applyAlignment="1">
      <alignment/>
    </xf>
    <xf numFmtId="43" fontId="53" fillId="0" borderId="0" xfId="89" applyFont="1" applyAlignment="1">
      <alignment/>
    </xf>
    <xf numFmtId="43" fontId="62" fillId="0" borderId="0" xfId="89" applyFont="1" applyAlignment="1">
      <alignment/>
    </xf>
    <xf numFmtId="43" fontId="61" fillId="0" borderId="0" xfId="89" applyFont="1" applyAlignment="1">
      <alignment/>
    </xf>
    <xf numFmtId="0" fontId="0" fillId="0" borderId="60" xfId="0" applyFont="1" applyBorder="1" applyAlignment="1">
      <alignment vertical="center"/>
    </xf>
    <xf numFmtId="43" fontId="10" fillId="0" borderId="77" xfId="104" applyFont="1" applyBorder="1" applyAlignment="1">
      <alignment vertical="center"/>
    </xf>
    <xf numFmtId="43" fontId="10" fillId="0" borderId="78" xfId="104" applyFont="1" applyBorder="1" applyAlignment="1">
      <alignment vertical="center"/>
    </xf>
    <xf numFmtId="43" fontId="0" fillId="0" borderId="60" xfId="104" applyFont="1" applyBorder="1" applyAlignment="1">
      <alignment/>
    </xf>
    <xf numFmtId="43" fontId="10" fillId="0" borderId="60" xfId="104" applyFont="1" applyBorder="1" applyAlignment="1">
      <alignment vertical="center"/>
    </xf>
    <xf numFmtId="43" fontId="0" fillId="0" borderId="61" xfId="104" applyFont="1" applyBorder="1" applyAlignment="1">
      <alignment/>
    </xf>
    <xf numFmtId="43" fontId="10" fillId="0" borderId="61" xfId="104" applyFont="1" applyBorder="1" applyAlignment="1">
      <alignment vertical="center"/>
    </xf>
    <xf numFmtId="43" fontId="53" fillId="0" borderId="79" xfId="104" applyFont="1" applyFill="1" applyBorder="1" applyAlignment="1">
      <alignment horizontal="center" vertical="center" wrapText="1"/>
    </xf>
    <xf numFmtId="43" fontId="0" fillId="0" borderId="61" xfId="89" applyFont="1" applyBorder="1" applyAlignment="1">
      <alignment/>
    </xf>
    <xf numFmtId="43" fontId="53" fillId="0" borderId="48" xfId="104" applyFont="1" applyFill="1" applyBorder="1" applyAlignment="1">
      <alignment horizontal="center" vertical="center"/>
    </xf>
    <xf numFmtId="0" fontId="0" fillId="0" borderId="73" xfId="120" applyFont="1" applyBorder="1">
      <alignment/>
      <protection/>
    </xf>
    <xf numFmtId="0" fontId="0" fillId="0" borderId="0" xfId="120" applyFont="1">
      <alignment/>
      <protection/>
    </xf>
    <xf numFmtId="4" fontId="54" fillId="47" borderId="44" xfId="89" applyNumberFormat="1" applyFont="1" applyFill="1" applyBorder="1" applyAlignment="1">
      <alignment/>
    </xf>
    <xf numFmtId="4" fontId="58" fillId="47" borderId="44" xfId="120" applyNumberFormat="1" applyFont="1" applyFill="1" applyBorder="1" applyAlignment="1" applyProtection="1">
      <alignment/>
      <protection/>
    </xf>
    <xf numFmtId="0" fontId="0" fillId="0" borderId="44" xfId="120" applyFont="1" applyBorder="1">
      <alignment/>
      <protection/>
    </xf>
    <xf numFmtId="2" fontId="53" fillId="0" borderId="0" xfId="120" applyNumberFormat="1" applyFont="1" applyBorder="1">
      <alignment/>
      <protection/>
    </xf>
    <xf numFmtId="43" fontId="54" fillId="47" borderId="44" xfId="89" applyFont="1" applyFill="1" applyBorder="1" applyAlignment="1">
      <alignment/>
    </xf>
    <xf numFmtId="4" fontId="0" fillId="0" borderId="0" xfId="89" applyNumberFormat="1" applyFont="1" applyFill="1" applyBorder="1" applyAlignment="1">
      <alignment vertical="center"/>
    </xf>
    <xf numFmtId="4" fontId="0" fillId="0" borderId="0" xfId="89" applyNumberFormat="1" applyFont="1" applyFill="1" applyBorder="1" applyAlignment="1">
      <alignment horizontal="center" vertical="center"/>
    </xf>
    <xf numFmtId="43" fontId="0" fillId="0" borderId="0" xfId="89" applyFont="1" applyFill="1" applyBorder="1" applyAlignment="1">
      <alignment vertical="center"/>
    </xf>
    <xf numFmtId="43" fontId="85" fillId="0" borderId="44" xfId="89" applyFont="1" applyBorder="1" applyAlignment="1">
      <alignment/>
    </xf>
    <xf numFmtId="2" fontId="86" fillId="0" borderId="0" xfId="120" applyNumberFormat="1" applyFont="1">
      <alignment/>
      <protection/>
    </xf>
    <xf numFmtId="0" fontId="76" fillId="0" borderId="0" xfId="0" applyFont="1" applyAlignment="1">
      <alignment/>
    </xf>
    <xf numFmtId="39" fontId="0" fillId="0" borderId="0" xfId="0" applyNumberFormat="1" applyFont="1" applyBorder="1" applyAlignment="1">
      <alignment/>
    </xf>
    <xf numFmtId="0" fontId="5" fillId="0" borderId="68" xfId="125" applyFont="1" applyBorder="1" applyProtection="1">
      <alignment/>
      <protection/>
    </xf>
    <xf numFmtId="4" fontId="5" fillId="0" borderId="68" xfId="120" applyNumberFormat="1" applyFont="1" applyBorder="1" applyAlignment="1" applyProtection="1">
      <alignment horizontal="right"/>
      <protection/>
    </xf>
    <xf numFmtId="4" fontId="5" fillId="0" borderId="68" xfId="120" applyNumberFormat="1" applyFont="1" applyBorder="1" applyAlignment="1" applyProtection="1">
      <alignment/>
      <protection/>
    </xf>
    <xf numFmtId="4" fontId="61" fillId="0" borderId="68" xfId="120" applyNumberFormat="1" applyFont="1" applyBorder="1" applyAlignment="1">
      <alignment/>
      <protection/>
    </xf>
    <xf numFmtId="0" fontId="61" fillId="0" borderId="80" xfId="120" applyFont="1" applyBorder="1" applyAlignment="1">
      <alignment horizontal="center"/>
      <protection/>
    </xf>
    <xf numFmtId="0" fontId="61" fillId="0" borderId="81" xfId="120" applyFont="1" applyBorder="1" applyAlignment="1">
      <alignment wrapText="1"/>
      <protection/>
    </xf>
    <xf numFmtId="0" fontId="61" fillId="0" borderId="81" xfId="120" applyFont="1" applyBorder="1" applyAlignment="1">
      <alignment horizontal="center"/>
      <protection/>
    </xf>
    <xf numFmtId="0" fontId="61" fillId="0" borderId="81" xfId="120" applyFont="1" applyBorder="1">
      <alignment/>
      <protection/>
    </xf>
    <xf numFmtId="4" fontId="61" fillId="0" borderId="81" xfId="120" applyNumberFormat="1" applyFont="1" applyBorder="1">
      <alignment/>
      <protection/>
    </xf>
    <xf numFmtId="4" fontId="61" fillId="0" borderId="82" xfId="120" applyNumberFormat="1" applyFont="1" applyBorder="1">
      <alignment/>
      <protection/>
    </xf>
    <xf numFmtId="43" fontId="0" fillId="0" borderId="0" xfId="0" applyNumberFormat="1" applyFont="1" applyAlignment="1">
      <alignment/>
    </xf>
    <xf numFmtId="4" fontId="0" fillId="0" borderId="0" xfId="120" applyNumberFormat="1" applyFont="1">
      <alignment/>
      <protection/>
    </xf>
    <xf numFmtId="43" fontId="55" fillId="0" borderId="0" xfId="89" applyFont="1" applyAlignment="1">
      <alignment/>
    </xf>
    <xf numFmtId="43" fontId="55" fillId="0" borderId="83" xfId="89" applyFont="1" applyBorder="1" applyAlignment="1">
      <alignment/>
    </xf>
    <xf numFmtId="0" fontId="4" fillId="0" borderId="0" xfId="120" applyFont="1" applyAlignment="1" applyProtection="1">
      <alignment horizontal="center" vertical="center"/>
      <protection/>
    </xf>
    <xf numFmtId="4" fontId="5" fillId="0" borderId="14" xfId="120" applyNumberFormat="1" applyFont="1" applyBorder="1" applyAlignment="1" applyProtection="1">
      <alignment horizontal="center"/>
      <protection/>
    </xf>
    <xf numFmtId="4" fontId="8" fillId="0" borderId="14" xfId="120" applyNumberFormat="1" applyFont="1" applyBorder="1" applyAlignment="1" applyProtection="1">
      <alignment horizontal="center"/>
      <protection/>
    </xf>
    <xf numFmtId="4" fontId="5" fillId="0" borderId="14" xfId="120" applyNumberFormat="1" applyFont="1" applyFill="1" applyBorder="1" applyAlignment="1" applyProtection="1">
      <alignment horizontal="center"/>
      <protection/>
    </xf>
    <xf numFmtId="4" fontId="9" fillId="0" borderId="14" xfId="120" applyNumberFormat="1" applyFont="1" applyBorder="1" applyAlignment="1" applyProtection="1">
      <alignment horizontal="center"/>
      <protection/>
    </xf>
    <xf numFmtId="4" fontId="61" fillId="0" borderId="14" xfId="120" applyNumberFormat="1" applyFont="1" applyBorder="1" applyAlignment="1">
      <alignment horizontal="center"/>
      <protection/>
    </xf>
    <xf numFmtId="4" fontId="9" fillId="0" borderId="14" xfId="120" applyNumberFormat="1" applyFont="1" applyFill="1" applyBorder="1" applyAlignment="1" applyProtection="1">
      <alignment horizontal="center"/>
      <protection/>
    </xf>
    <xf numFmtId="4" fontId="61" fillId="0" borderId="14" xfId="120" applyNumberFormat="1" applyFont="1" applyFill="1" applyBorder="1" applyAlignment="1" applyProtection="1">
      <alignment horizontal="center"/>
      <protection/>
    </xf>
    <xf numFmtId="4" fontId="61" fillId="0" borderId="14" xfId="89" applyNumberFormat="1" applyFont="1" applyFill="1" applyBorder="1" applyAlignment="1">
      <alignment horizontal="center"/>
    </xf>
    <xf numFmtId="4" fontId="61" fillId="0" borderId="21" xfId="89" applyNumberFormat="1" applyFont="1" applyFill="1" applyBorder="1" applyAlignment="1">
      <alignment horizontal="center"/>
    </xf>
    <xf numFmtId="4" fontId="9" fillId="0" borderId="14" xfId="89" applyNumberFormat="1" applyFont="1" applyBorder="1" applyAlignment="1">
      <alignment horizontal="center"/>
    </xf>
    <xf numFmtId="4" fontId="9" fillId="0" borderId="14" xfId="89" applyNumberFormat="1" applyFont="1" applyFill="1" applyBorder="1" applyAlignment="1">
      <alignment horizontal="center"/>
    </xf>
    <xf numFmtId="4" fontId="61" fillId="0" borderId="21" xfId="89" applyNumberFormat="1" applyFont="1" applyBorder="1" applyAlignment="1">
      <alignment horizontal="center"/>
    </xf>
    <xf numFmtId="4" fontId="9" fillId="0" borderId="21" xfId="89" applyNumberFormat="1" applyFont="1" applyBorder="1" applyAlignment="1">
      <alignment horizontal="center"/>
    </xf>
    <xf numFmtId="43" fontId="61" fillId="0" borderId="68" xfId="89" applyFont="1" applyBorder="1" applyAlignment="1">
      <alignment horizontal="center"/>
    </xf>
    <xf numFmtId="4" fontId="61" fillId="0" borderId="71" xfId="120" applyNumberFormat="1" applyFont="1" applyFill="1" applyBorder="1" applyAlignment="1" applyProtection="1">
      <alignment horizontal="center"/>
      <protection/>
    </xf>
    <xf numFmtId="4" fontId="61" fillId="0" borderId="68" xfId="120" applyNumberFormat="1" applyFont="1" applyFill="1" applyBorder="1" applyAlignment="1" applyProtection="1">
      <alignment horizontal="center"/>
      <protection/>
    </xf>
    <xf numFmtId="43" fontId="61" fillId="0" borderId="81" xfId="89" applyFont="1" applyBorder="1" applyAlignment="1">
      <alignment horizontal="center"/>
    </xf>
    <xf numFmtId="0" fontId="2" fillId="0" borderId="0" xfId="120" applyAlignment="1">
      <alignment horizontal="center"/>
      <protection/>
    </xf>
    <xf numFmtId="43" fontId="55" fillId="0" borderId="83" xfId="89" applyFont="1" applyBorder="1" applyAlignment="1">
      <alignment horizontal="center"/>
    </xf>
    <xf numFmtId="4" fontId="0" fillId="0" borderId="83" xfId="0" applyNumberFormat="1" applyFont="1" applyFill="1" applyBorder="1" applyAlignment="1" applyProtection="1">
      <alignment horizontal="right" vertical="center"/>
      <protection/>
    </xf>
    <xf numFmtId="0" fontId="2" fillId="0" borderId="83" xfId="120" applyBorder="1">
      <alignment/>
      <protection/>
    </xf>
    <xf numFmtId="0" fontId="2" fillId="0" borderId="83" xfId="120" applyBorder="1" applyAlignment="1">
      <alignment horizontal="center"/>
      <protection/>
    </xf>
    <xf numFmtId="43" fontId="2" fillId="0" borderId="83" xfId="89" applyFont="1" applyBorder="1" applyAlignment="1">
      <alignment/>
    </xf>
    <xf numFmtId="43" fontId="55" fillId="0" borderId="84" xfId="89" applyFont="1" applyBorder="1" applyAlignment="1">
      <alignment/>
    </xf>
    <xf numFmtId="43" fontId="55" fillId="0" borderId="84" xfId="89" applyFont="1" applyBorder="1" applyAlignment="1">
      <alignment horizontal="center"/>
    </xf>
    <xf numFmtId="43" fontId="55" fillId="0" borderId="85" xfId="89" applyFont="1" applyBorder="1" applyAlignment="1">
      <alignment/>
    </xf>
    <xf numFmtId="43" fontId="54" fillId="0" borderId="83" xfId="89" applyFont="1" applyBorder="1" applyAlignment="1">
      <alignment horizontal="center"/>
    </xf>
    <xf numFmtId="43" fontId="54" fillId="0" borderId="85" xfId="89" applyFont="1" applyBorder="1" applyAlignment="1">
      <alignment horizontal="center"/>
    </xf>
    <xf numFmtId="43" fontId="54" fillId="0" borderId="85" xfId="89" applyFont="1" applyBorder="1" applyAlignment="1">
      <alignment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83" xfId="0" applyFont="1" applyBorder="1" applyAlignment="1">
      <alignment/>
    </xf>
    <xf numFmtId="0" fontId="0" fillId="0" borderId="83" xfId="0" applyFont="1" applyBorder="1" applyAlignment="1">
      <alignment horizontal="center"/>
    </xf>
    <xf numFmtId="43" fontId="0" fillId="0" borderId="83" xfId="89" applyFont="1" applyBorder="1" applyAlignment="1">
      <alignment/>
    </xf>
    <xf numFmtId="0" fontId="0" fillId="0" borderId="0" xfId="0" applyFont="1" applyAlignment="1">
      <alignment vertical="center"/>
    </xf>
    <xf numFmtId="0" fontId="53" fillId="0" borderId="86" xfId="0" applyFont="1" applyBorder="1" applyAlignment="1">
      <alignment vertical="center"/>
    </xf>
    <xf numFmtId="43" fontId="53" fillId="47" borderId="86" xfId="89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3" fillId="0" borderId="87" xfId="0" applyFont="1" applyBorder="1" applyAlignment="1">
      <alignment/>
    </xf>
    <xf numFmtId="0" fontId="53" fillId="0" borderId="87" xfId="0" applyNumberFormat="1" applyFont="1" applyFill="1" applyBorder="1" applyAlignment="1">
      <alignment horizontal="center" vertical="center"/>
    </xf>
    <xf numFmtId="0" fontId="0" fillId="0" borderId="87" xfId="0" applyNumberFormat="1" applyFont="1" applyFill="1" applyBorder="1" applyAlignment="1">
      <alignment horizontal="center" vertical="center"/>
    </xf>
    <xf numFmtId="39" fontId="0" fillId="0" borderId="0" xfId="121" applyFont="1" applyBorder="1" applyAlignment="1" applyProtection="1">
      <alignment vertical="center"/>
      <protection/>
    </xf>
    <xf numFmtId="39" fontId="0" fillId="0" borderId="0" xfId="121" applyFont="1" applyBorder="1" applyAlignment="1" applyProtection="1">
      <alignment horizontal="center" vertical="center"/>
      <protection/>
    </xf>
    <xf numFmtId="0" fontId="0" fillId="0" borderId="88" xfId="0" applyFont="1" applyBorder="1" applyAlignment="1">
      <alignment/>
    </xf>
    <xf numFmtId="0" fontId="0" fillId="0" borderId="88" xfId="0" applyFont="1" applyBorder="1" applyAlignment="1">
      <alignment horizontal="center"/>
    </xf>
    <xf numFmtId="39" fontId="0" fillId="0" borderId="88" xfId="0" applyNumberFormat="1" applyFont="1" applyBorder="1" applyAlignment="1">
      <alignment/>
    </xf>
    <xf numFmtId="0" fontId="53" fillId="0" borderId="83" xfId="0" applyFont="1" applyBorder="1" applyAlignment="1" applyProtection="1" quotePrefix="1">
      <alignment horizontal="left" vertical="center"/>
      <protection/>
    </xf>
    <xf numFmtId="0" fontId="0" fillId="0" borderId="83" xfId="0" applyFont="1" applyBorder="1" applyAlignment="1" applyProtection="1" quotePrefix="1">
      <alignment horizontal="left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3" xfId="0" applyNumberFormat="1" applyFont="1" applyFill="1" applyBorder="1" applyAlignment="1" applyProtection="1">
      <alignment horizontal="center" vertical="center"/>
      <protection/>
    </xf>
    <xf numFmtId="4" fontId="0" fillId="0" borderId="83" xfId="0" applyNumberFormat="1" applyFont="1" applyFill="1" applyBorder="1" applyAlignment="1" applyProtection="1">
      <alignment/>
      <protection/>
    </xf>
    <xf numFmtId="0" fontId="0" fillId="0" borderId="83" xfId="0" applyFont="1" applyBorder="1" applyAlignment="1" applyProtection="1" quotePrefix="1">
      <alignment horizontal="left" vertical="center" wrapText="1"/>
      <protection/>
    </xf>
    <xf numFmtId="4" fontId="0" fillId="0" borderId="83" xfId="0" applyNumberFormat="1" applyFont="1" applyFill="1" applyBorder="1" applyAlignment="1" applyProtection="1">
      <alignment vertical="center"/>
      <protection/>
    </xf>
    <xf numFmtId="0" fontId="0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4" fontId="0" fillId="0" borderId="89" xfId="0" applyNumberFormat="1" applyFont="1" applyBorder="1" applyAlignment="1" applyProtection="1">
      <alignment horizontal="right" vertical="center"/>
      <protection/>
    </xf>
    <xf numFmtId="0" fontId="53" fillId="0" borderId="83" xfId="0" applyFont="1" applyBorder="1" applyAlignment="1" applyProtection="1" quotePrefix="1">
      <alignment horizontal="left" vertical="center" wrapText="1"/>
      <protection/>
    </xf>
    <xf numFmtId="0" fontId="0" fillId="0" borderId="83" xfId="0" applyNumberFormat="1" applyFont="1" applyBorder="1" applyAlignment="1" applyProtection="1">
      <alignment horizontal="center" vertical="center"/>
      <protection/>
    </xf>
    <xf numFmtId="4" fontId="0" fillId="0" borderId="83" xfId="0" applyNumberFormat="1" applyFont="1" applyBorder="1" applyAlignment="1" applyProtection="1">
      <alignment horizontal="right" vertical="center"/>
      <protection/>
    </xf>
    <xf numFmtId="10" fontId="0" fillId="0" borderId="83" xfId="0" applyNumberFormat="1" applyFont="1" applyBorder="1" applyAlignment="1" applyProtection="1">
      <alignment horizontal="right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53" fillId="0" borderId="83" xfId="0" applyFont="1" applyBorder="1" applyAlignment="1">
      <alignment/>
    </xf>
    <xf numFmtId="4" fontId="0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0" xfId="120" applyFont="1" applyAlignment="1">
      <alignment horizontal="center"/>
      <protection/>
    </xf>
    <xf numFmtId="176" fontId="0" fillId="0" borderId="0" xfId="120" applyNumberFormat="1" applyFont="1" applyAlignment="1">
      <alignment horizontal="center"/>
      <protection/>
    </xf>
    <xf numFmtId="43" fontId="0" fillId="0" borderId="0" xfId="120" applyNumberFormat="1" applyFont="1">
      <alignment/>
      <protection/>
    </xf>
    <xf numFmtId="9" fontId="0" fillId="0" borderId="0" xfId="120" applyNumberFormat="1" applyFont="1">
      <alignment/>
      <protection/>
    </xf>
    <xf numFmtId="0" fontId="0" fillId="0" borderId="83" xfId="120" applyFont="1" applyBorder="1">
      <alignment/>
      <protection/>
    </xf>
    <xf numFmtId="0" fontId="0" fillId="0" borderId="83" xfId="120" applyFont="1" applyBorder="1" applyAlignment="1">
      <alignment horizontal="center"/>
      <protection/>
    </xf>
    <xf numFmtId="4" fontId="0" fillId="0" borderId="83" xfId="120" applyNumberFormat="1" applyFont="1" applyBorder="1">
      <alignment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120" applyNumberFormat="1" applyFont="1" applyBorder="1">
      <alignment/>
      <protection/>
    </xf>
    <xf numFmtId="0" fontId="0" fillId="0" borderId="8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89" xfId="0" applyFont="1" applyBorder="1" applyAlignment="1" applyProtection="1" quotePrefix="1">
      <alignment horizontal="left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178" fontId="0" fillId="0" borderId="89" xfId="0" applyNumberFormat="1" applyFont="1" applyBorder="1" applyAlignment="1" applyProtection="1">
      <alignment horizontal="right" vertical="center"/>
      <protection/>
    </xf>
    <xf numFmtId="0" fontId="0" fillId="0" borderId="89" xfId="0" applyNumberFormat="1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left" vertical="center"/>
      <protection/>
    </xf>
    <xf numFmtId="0" fontId="53" fillId="0" borderId="86" xfId="0" applyFont="1" applyBorder="1" applyAlignment="1">
      <alignment horizontal="center" vertical="center" wrapText="1"/>
    </xf>
    <xf numFmtId="0" fontId="0" fillId="0" borderId="0" xfId="120" applyFont="1" applyAlignment="1">
      <alignment vertical="center"/>
      <protection/>
    </xf>
    <xf numFmtId="0" fontId="0" fillId="0" borderId="90" xfId="120" applyFont="1" applyBorder="1" applyAlignment="1">
      <alignment vertical="center" wrapText="1"/>
      <protection/>
    </xf>
    <xf numFmtId="4" fontId="0" fillId="0" borderId="83" xfId="0" applyNumberFormat="1" applyFont="1" applyBorder="1" applyAlignment="1">
      <alignment horizontal="center" vertical="center" wrapText="1"/>
    </xf>
    <xf numFmtId="4" fontId="0" fillId="0" borderId="0" xfId="120" applyNumberFormat="1" applyFont="1" applyAlignment="1">
      <alignment vertical="center"/>
      <protection/>
    </xf>
    <xf numFmtId="43" fontId="53" fillId="0" borderId="0" xfId="89" applyFont="1" applyFill="1" applyBorder="1" applyAlignment="1">
      <alignment horizontal="right"/>
    </xf>
    <xf numFmtId="4" fontId="0" fillId="0" borderId="83" xfId="120" applyNumberFormat="1" applyFont="1" applyBorder="1" applyAlignment="1" applyProtection="1">
      <alignment/>
      <protection/>
    </xf>
    <xf numFmtId="4" fontId="0" fillId="0" borderId="83" xfId="120" applyNumberFormat="1" applyFont="1" applyBorder="1" applyAlignment="1">
      <alignment/>
      <protection/>
    </xf>
    <xf numFmtId="4" fontId="0" fillId="0" borderId="83" xfId="120" applyNumberFormat="1" applyFont="1" applyBorder="1" applyAlignment="1" applyProtection="1">
      <alignment horizontal="center"/>
      <protection/>
    </xf>
    <xf numFmtId="4" fontId="87" fillId="0" borderId="83" xfId="120" applyNumberFormat="1" applyFont="1" applyBorder="1" applyAlignment="1" applyProtection="1">
      <alignment/>
      <protection/>
    </xf>
    <xf numFmtId="4" fontId="88" fillId="0" borderId="83" xfId="120" applyNumberFormat="1" applyFont="1" applyBorder="1" applyAlignment="1">
      <alignment/>
      <protection/>
    </xf>
    <xf numFmtId="4" fontId="88" fillId="0" borderId="83" xfId="120" applyNumberFormat="1" applyFont="1" applyBorder="1" applyAlignment="1" applyProtection="1">
      <alignment horizontal="center"/>
      <protection/>
    </xf>
    <xf numFmtId="4" fontId="0" fillId="0" borderId="83" xfId="120" applyNumberFormat="1" applyFont="1" applyFill="1" applyBorder="1" applyAlignment="1">
      <alignment vertical="center"/>
      <protection/>
    </xf>
    <xf numFmtId="4" fontId="0" fillId="0" borderId="83" xfId="120" applyNumberFormat="1" applyFont="1" applyFill="1" applyBorder="1" applyAlignment="1" applyProtection="1">
      <alignment horizontal="center" vertical="center"/>
      <protection/>
    </xf>
    <xf numFmtId="43" fontId="0" fillId="0" borderId="83" xfId="89" applyFont="1" applyFill="1" applyBorder="1" applyAlignment="1">
      <alignment/>
    </xf>
    <xf numFmtId="4" fontId="0" fillId="0" borderId="83" xfId="120" applyNumberFormat="1" applyFont="1" applyFill="1" applyBorder="1" applyAlignment="1" applyProtection="1">
      <alignment vertical="center"/>
      <protection/>
    </xf>
    <xf numFmtId="4" fontId="0" fillId="0" borderId="83" xfId="120" applyNumberFormat="1" applyFont="1" applyFill="1" applyBorder="1" applyAlignment="1">
      <alignment/>
      <protection/>
    </xf>
    <xf numFmtId="4" fontId="0" fillId="0" borderId="83" xfId="120" applyNumberFormat="1" applyFont="1" applyFill="1" applyBorder="1" applyAlignment="1" applyProtection="1">
      <alignment horizontal="center"/>
      <protection/>
    </xf>
    <xf numFmtId="4" fontId="0" fillId="0" borderId="83" xfId="120" applyNumberFormat="1" applyFont="1" applyFill="1" applyBorder="1" applyAlignment="1" applyProtection="1">
      <alignment/>
      <protection/>
    </xf>
    <xf numFmtId="4" fontId="55" fillId="0" borderId="44" xfId="120" applyNumberFormat="1" applyFont="1" applyBorder="1" applyAlignment="1">
      <alignment vertical="center"/>
      <protection/>
    </xf>
    <xf numFmtId="4" fontId="58" fillId="0" borderId="44" xfId="120" applyNumberFormat="1" applyFont="1" applyBorder="1" applyAlignment="1" applyProtection="1">
      <alignment vertical="center"/>
      <protection/>
    </xf>
    <xf numFmtId="4" fontId="55" fillId="0" borderId="44" xfId="120" applyNumberFormat="1" applyFont="1" applyFill="1" applyBorder="1" applyAlignment="1" applyProtection="1">
      <alignment horizontal="center" vertical="center"/>
      <protection/>
    </xf>
    <xf numFmtId="4" fontId="58" fillId="0" borderId="44" xfId="120" applyNumberFormat="1" applyFont="1" applyFill="1" applyBorder="1" applyAlignment="1" applyProtection="1">
      <alignment vertical="center"/>
      <protection/>
    </xf>
    <xf numFmtId="0" fontId="0" fillId="0" borderId="73" xfId="120" applyFont="1" applyBorder="1" applyAlignment="1">
      <alignment vertical="center"/>
      <protection/>
    </xf>
    <xf numFmtId="0" fontId="0" fillId="0" borderId="0" xfId="120" applyFont="1" applyAlignment="1">
      <alignment vertical="center"/>
      <protection/>
    </xf>
    <xf numFmtId="4" fontId="0" fillId="47" borderId="8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4" fontId="0" fillId="0" borderId="0" xfId="89" applyNumberFormat="1" applyFont="1" applyBorder="1" applyAlignment="1">
      <alignment horizontal="center" vertical="center"/>
    </xf>
    <xf numFmtId="4" fontId="0" fillId="0" borderId="0" xfId="89" applyNumberFormat="1" applyFont="1" applyBorder="1" applyAlignment="1">
      <alignment vertical="center"/>
    </xf>
    <xf numFmtId="43" fontId="0" fillId="0" borderId="0" xfId="89" applyFont="1" applyFill="1" applyBorder="1" applyAlignment="1">
      <alignment horizontal="center" vertical="center"/>
    </xf>
    <xf numFmtId="4" fontId="87" fillId="47" borderId="89" xfId="0" applyNumberFormat="1" applyFont="1" applyFill="1" applyBorder="1" applyAlignment="1" applyProtection="1">
      <alignment horizontal="right" vertical="center"/>
      <protection/>
    </xf>
    <xf numFmtId="0" fontId="87" fillId="0" borderId="0" xfId="0" applyFont="1" applyFill="1" applyAlignment="1">
      <alignment horizontal="center"/>
    </xf>
    <xf numFmtId="170" fontId="53" fillId="0" borderId="0" xfId="8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89" applyNumberFormat="1" applyFont="1" applyBorder="1" applyAlignment="1">
      <alignment vertical="center" wrapText="1"/>
    </xf>
    <xf numFmtId="0" fontId="0" fillId="0" borderId="0" xfId="118" applyFont="1" applyAlignment="1">
      <alignment vertical="center"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43" fontId="0" fillId="0" borderId="0" xfId="118" applyNumberFormat="1" applyFont="1" applyAlignment="1">
      <alignment horizontal="center"/>
      <protection/>
    </xf>
    <xf numFmtId="0" fontId="53" fillId="0" borderId="0" xfId="118" applyFont="1">
      <alignment/>
      <protection/>
    </xf>
    <xf numFmtId="0" fontId="0" fillId="0" borderId="0" xfId="118" applyFont="1" applyFill="1">
      <alignment/>
      <protection/>
    </xf>
    <xf numFmtId="0" fontId="0" fillId="0" borderId="0" xfId="118" applyFont="1" applyFill="1" applyAlignment="1">
      <alignment vertical="center"/>
      <protection/>
    </xf>
    <xf numFmtId="0" fontId="89" fillId="0" borderId="0" xfId="118" applyFont="1">
      <alignment/>
      <protection/>
    </xf>
    <xf numFmtId="0" fontId="89" fillId="0" borderId="0" xfId="118" applyFont="1" applyAlignment="1">
      <alignment horizontal="center"/>
      <protection/>
    </xf>
    <xf numFmtId="43" fontId="89" fillId="0" borderId="0" xfId="118" applyNumberFormat="1" applyFont="1" applyAlignment="1">
      <alignment horizontal="center"/>
      <protection/>
    </xf>
    <xf numFmtId="0" fontId="90" fillId="0" borderId="0" xfId="118" applyFont="1">
      <alignment/>
      <protection/>
    </xf>
    <xf numFmtId="0" fontId="89" fillId="0" borderId="0" xfId="118" applyFont="1" applyAlignment="1">
      <alignment vertical="center"/>
      <protection/>
    </xf>
    <xf numFmtId="0" fontId="54" fillId="0" borderId="27" xfId="0" applyFont="1" applyFill="1" applyBorder="1" applyAlignment="1">
      <alignment horizontal="right"/>
    </xf>
    <xf numFmtId="4" fontId="54" fillId="0" borderId="27" xfId="89" applyNumberFormat="1" applyFont="1" applyBorder="1" applyAlignment="1">
      <alignment horizontal="right" vertical="center"/>
    </xf>
    <xf numFmtId="0" fontId="55" fillId="0" borderId="26" xfId="118" applyFont="1" applyBorder="1">
      <alignment/>
      <protection/>
    </xf>
    <xf numFmtId="0" fontId="54" fillId="0" borderId="26" xfId="118" applyFont="1" applyFill="1" applyBorder="1" applyAlignment="1">
      <alignment horizontal="center"/>
      <protection/>
    </xf>
    <xf numFmtId="43" fontId="54" fillId="0" borderId="28" xfId="118" applyNumberFormat="1" applyFont="1" applyFill="1" applyBorder="1" applyAlignment="1">
      <alignment/>
      <protection/>
    </xf>
    <xf numFmtId="0" fontId="0" fillId="48" borderId="0" xfId="124" applyFont="1" applyFill="1" applyAlignment="1">
      <alignment horizontal="center"/>
      <protection/>
    </xf>
    <xf numFmtId="0" fontId="0" fillId="38" borderId="0" xfId="124" applyFont="1" applyFill="1" applyAlignment="1">
      <alignment horizontal="center"/>
      <protection/>
    </xf>
    <xf numFmtId="43" fontId="0" fillId="38" borderId="0" xfId="89" applyFont="1" applyFill="1" applyAlignment="1">
      <alignment horizontal="center"/>
    </xf>
    <xf numFmtId="43" fontId="0" fillId="38" borderId="0" xfId="89" applyFont="1" applyFill="1" applyAlignment="1">
      <alignment/>
    </xf>
    <xf numFmtId="43" fontId="53" fillId="48" borderId="0" xfId="89" applyFont="1" applyFill="1" applyAlignment="1">
      <alignment/>
    </xf>
    <xf numFmtId="40" fontId="88" fillId="49" borderId="0" xfId="105" applyFont="1" applyFill="1" applyBorder="1" applyAlignment="1">
      <alignment vertical="center"/>
    </xf>
    <xf numFmtId="40" fontId="88" fillId="49" borderId="0" xfId="105" applyFont="1" applyFill="1" applyBorder="1" applyAlignment="1">
      <alignment/>
    </xf>
    <xf numFmtId="0" fontId="88" fillId="50" borderId="0" xfId="123" applyFont="1" applyFill="1">
      <alignment/>
      <protection/>
    </xf>
    <xf numFmtId="40" fontId="53" fillId="0" borderId="0" xfId="105" applyFont="1" applyAlignment="1">
      <alignment horizontal="center"/>
    </xf>
    <xf numFmtId="40" fontId="53" fillId="0" borderId="0" xfId="105" applyFont="1" applyAlignment="1">
      <alignment horizontal="center" vertical="center"/>
    </xf>
    <xf numFmtId="0" fontId="0" fillId="0" borderId="0" xfId="123" applyFont="1">
      <alignment/>
      <protection/>
    </xf>
    <xf numFmtId="0" fontId="0" fillId="51" borderId="0" xfId="124" applyFont="1" applyFill="1" applyAlignment="1">
      <alignment horizontal="center" vertical="center"/>
      <protection/>
    </xf>
    <xf numFmtId="0" fontId="0" fillId="51" borderId="0" xfId="124" applyFont="1" applyFill="1" applyAlignment="1">
      <alignment vertical="center"/>
      <protection/>
    </xf>
    <xf numFmtId="0" fontId="65" fillId="51" borderId="0" xfId="124" applyFont="1" applyFill="1" applyAlignment="1">
      <alignment horizontal="center" vertical="center"/>
      <protection/>
    </xf>
    <xf numFmtId="43" fontId="65" fillId="48" borderId="0" xfId="89" applyFont="1" applyFill="1" applyAlignment="1">
      <alignment horizontal="center" vertical="center"/>
    </xf>
    <xf numFmtId="43" fontId="0" fillId="48" borderId="0" xfId="89" applyFont="1" applyFill="1" applyAlignment="1">
      <alignment vertical="center"/>
    </xf>
    <xf numFmtId="43" fontId="53" fillId="48" borderId="0" xfId="89" applyFont="1" applyFill="1" applyAlignment="1">
      <alignment vertical="center"/>
    </xf>
    <xf numFmtId="0" fontId="0" fillId="52" borderId="0" xfId="124" applyFont="1" applyFill="1" applyAlignment="1">
      <alignment horizontal="center" vertical="center"/>
      <protection/>
    </xf>
    <xf numFmtId="0" fontId="0" fillId="52" borderId="0" xfId="124" applyFont="1" applyFill="1" applyAlignment="1">
      <alignment vertical="center"/>
      <protection/>
    </xf>
    <xf numFmtId="0" fontId="65" fillId="52" borderId="0" xfId="124" applyFont="1" applyFill="1" applyAlignment="1">
      <alignment horizontal="center" vertical="center"/>
      <protection/>
    </xf>
    <xf numFmtId="43" fontId="65" fillId="52" borderId="0" xfId="89" applyFont="1" applyFill="1" applyAlignment="1">
      <alignment horizontal="center" vertical="center"/>
    </xf>
    <xf numFmtId="43" fontId="0" fillId="52" borderId="0" xfId="89" applyFont="1" applyFill="1" applyAlignment="1">
      <alignment vertical="center"/>
    </xf>
    <xf numFmtId="43" fontId="53" fillId="52" borderId="0" xfId="89" applyFont="1" applyFill="1" applyAlignment="1">
      <alignment vertical="center"/>
    </xf>
    <xf numFmtId="40" fontId="88" fillId="53" borderId="0" xfId="105" applyFont="1" applyFill="1" applyBorder="1" applyAlignment="1">
      <alignment vertical="center"/>
    </xf>
    <xf numFmtId="40" fontId="88" fillId="53" borderId="0" xfId="105" applyFont="1" applyFill="1" applyBorder="1" applyAlignment="1">
      <alignment/>
    </xf>
    <xf numFmtId="0" fontId="88" fillId="52" borderId="0" xfId="123" applyFont="1" applyFill="1">
      <alignment/>
      <protection/>
    </xf>
    <xf numFmtId="0" fontId="0" fillId="0" borderId="0" xfId="123" applyFont="1" applyAlignment="1">
      <alignment horizontal="center"/>
      <protection/>
    </xf>
    <xf numFmtId="43" fontId="0" fillId="0" borderId="0" xfId="89" applyFont="1" applyAlignment="1">
      <alignment/>
    </xf>
    <xf numFmtId="14" fontId="0" fillId="0" borderId="0" xfId="123" applyNumberFormat="1" applyFont="1" applyAlignment="1">
      <alignment horizontal="left" vertical="center"/>
      <protection/>
    </xf>
    <xf numFmtId="14" fontId="0" fillId="0" borderId="0" xfId="123" applyNumberFormat="1" applyFont="1" applyAlignment="1">
      <alignment horizontal="left"/>
      <protection/>
    </xf>
    <xf numFmtId="0" fontId="4" fillId="0" borderId="0" xfId="126" applyFont="1" applyAlignment="1">
      <alignment horizontal="center" vertical="center" wrapText="1"/>
      <protection/>
    </xf>
    <xf numFmtId="0" fontId="3" fillId="0" borderId="0" xfId="126" applyFont="1" applyAlignment="1">
      <alignment horizontal="center" vertical="center" wrapText="1"/>
      <protection/>
    </xf>
    <xf numFmtId="43" fontId="3" fillId="0" borderId="0" xfId="89" applyFont="1" applyAlignment="1">
      <alignment horizontal="center" vertical="center" wrapText="1"/>
    </xf>
    <xf numFmtId="43" fontId="4" fillId="0" borderId="0" xfId="89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123" applyFont="1" applyAlignment="1">
      <alignment horizontal="center" vertical="center"/>
      <protection/>
    </xf>
    <xf numFmtId="43" fontId="0" fillId="0" borderId="0" xfId="100" applyFont="1" applyAlignment="1">
      <alignment/>
    </xf>
    <xf numFmtId="0" fontId="53" fillId="0" borderId="91" xfId="123" applyFont="1" applyFill="1" applyBorder="1" applyAlignment="1">
      <alignment horizontal="center"/>
      <protection/>
    </xf>
    <xf numFmtId="0" fontId="53" fillId="0" borderId="27" xfId="123" applyFont="1" applyFill="1" applyBorder="1" applyAlignment="1">
      <alignment horizontal="centerContinuous"/>
      <protection/>
    </xf>
    <xf numFmtId="43" fontId="53" fillId="0" borderId="27" xfId="89" applyFont="1" applyFill="1" applyBorder="1" applyAlignment="1">
      <alignment horizontal="center"/>
    </xf>
    <xf numFmtId="43" fontId="53" fillId="0" borderId="91" xfId="89" applyFont="1" applyFill="1" applyBorder="1" applyAlignment="1">
      <alignment horizontal="center"/>
    </xf>
    <xf numFmtId="43" fontId="53" fillId="0" borderId="28" xfId="89" applyFont="1" applyFill="1" applyBorder="1" applyAlignment="1">
      <alignment horizontal="center"/>
    </xf>
    <xf numFmtId="40" fontId="53" fillId="49" borderId="0" xfId="105" applyFont="1" applyFill="1" applyBorder="1" applyAlignment="1">
      <alignment horizontal="center" vertical="center"/>
    </xf>
    <xf numFmtId="40" fontId="53" fillId="49" borderId="0" xfId="105" applyFont="1" applyFill="1" applyBorder="1" applyAlignment="1">
      <alignment horizontal="center"/>
    </xf>
    <xf numFmtId="0" fontId="0" fillId="50" borderId="0" xfId="123" applyFont="1" applyFill="1">
      <alignment/>
      <protection/>
    </xf>
    <xf numFmtId="0" fontId="53" fillId="0" borderId="0" xfId="123" applyFont="1" applyFill="1" applyBorder="1" applyAlignment="1">
      <alignment horizontal="center"/>
      <protection/>
    </xf>
    <xf numFmtId="0" fontId="53" fillId="0" borderId="0" xfId="123" applyFont="1" applyFill="1" applyBorder="1" applyAlignment="1">
      <alignment horizontal="centerContinuous"/>
      <protection/>
    </xf>
    <xf numFmtId="0" fontId="53" fillId="0" borderId="0" xfId="123" applyFont="1" applyFill="1" applyBorder="1" applyAlignment="1">
      <alignment horizontal="left"/>
      <protection/>
    </xf>
    <xf numFmtId="0" fontId="0" fillId="0" borderId="0" xfId="123" applyFont="1" applyFill="1">
      <alignment/>
      <protection/>
    </xf>
    <xf numFmtId="0" fontId="53" fillId="0" borderId="0" xfId="123" applyFont="1" applyBorder="1" applyAlignment="1">
      <alignment horizontal="center"/>
      <protection/>
    </xf>
    <xf numFmtId="0" fontId="53" fillId="0" borderId="0" xfId="123" applyFont="1" applyBorder="1">
      <alignment/>
      <protection/>
    </xf>
    <xf numFmtId="40" fontId="53" fillId="0" borderId="0" xfId="105" applyNumberFormat="1" applyFont="1" applyBorder="1" applyAlignment="1">
      <alignment horizontal="right" vertical="center"/>
    </xf>
    <xf numFmtId="40" fontId="53" fillId="0" borderId="0" xfId="105" applyNumberFormat="1" applyFont="1" applyBorder="1" applyAlignment="1">
      <alignment horizontal="right"/>
    </xf>
    <xf numFmtId="0" fontId="53" fillId="0" borderId="0" xfId="123" applyFont="1">
      <alignment/>
      <protection/>
    </xf>
    <xf numFmtId="0" fontId="0" fillId="0" borderId="0" xfId="123" applyFont="1" applyBorder="1" applyAlignment="1">
      <alignment horizontal="center" vertical="center"/>
      <protection/>
    </xf>
    <xf numFmtId="0" fontId="0" fillId="0" borderId="0" xfId="123" applyFont="1" applyFill="1" applyBorder="1" applyAlignment="1">
      <alignment vertical="center"/>
      <protection/>
    </xf>
    <xf numFmtId="43" fontId="0" fillId="0" borderId="0" xfId="89" applyFont="1" applyBorder="1" applyAlignment="1">
      <alignment horizontal="center" vertical="center"/>
    </xf>
    <xf numFmtId="43" fontId="0" fillId="0" borderId="0" xfId="89" applyFont="1" applyBorder="1" applyAlignment="1">
      <alignment horizontal="right" vertical="center"/>
    </xf>
    <xf numFmtId="0" fontId="53" fillId="0" borderId="0" xfId="123" applyFont="1" applyAlignment="1">
      <alignment vertical="center"/>
      <protection/>
    </xf>
    <xf numFmtId="40" fontId="0" fillId="0" borderId="0" xfId="105" applyNumberFormat="1" applyFont="1" applyBorder="1" applyAlignment="1">
      <alignment horizontal="right" vertical="center"/>
    </xf>
    <xf numFmtId="43" fontId="0" fillId="0" borderId="0" xfId="100" applyFont="1" applyAlignment="1">
      <alignment vertical="center"/>
    </xf>
    <xf numFmtId="0" fontId="0" fillId="0" borderId="0" xfId="123" applyFont="1" applyAlignment="1">
      <alignment vertical="center"/>
      <protection/>
    </xf>
    <xf numFmtId="2" fontId="0" fillId="0" borderId="0" xfId="123" applyNumberFormat="1" applyFont="1" applyAlignment="1">
      <alignment vertical="center"/>
      <protection/>
    </xf>
    <xf numFmtId="0" fontId="0" fillId="0" borderId="0" xfId="123" applyFont="1" applyBorder="1" applyAlignment="1">
      <alignment vertical="center"/>
      <protection/>
    </xf>
    <xf numFmtId="43" fontId="53" fillId="0" borderId="0" xfId="89" applyFont="1" applyBorder="1" applyAlignment="1">
      <alignment horizontal="right" vertical="center"/>
    </xf>
    <xf numFmtId="40" fontId="87" fillId="0" borderId="0" xfId="105" applyNumberFormat="1" applyFont="1" applyBorder="1" applyAlignment="1">
      <alignment horizontal="right" vertical="center"/>
    </xf>
    <xf numFmtId="0" fontId="0" fillId="0" borderId="0" xfId="123" applyFont="1" applyBorder="1" applyAlignment="1">
      <alignment horizontal="center"/>
      <protection/>
    </xf>
    <xf numFmtId="0" fontId="0" fillId="0" borderId="0" xfId="123" applyFont="1" applyBorder="1">
      <alignment/>
      <protection/>
    </xf>
    <xf numFmtId="40" fontId="0" fillId="0" borderId="0" xfId="105" applyNumberFormat="1" applyFont="1" applyBorder="1" applyAlignment="1">
      <alignment horizontal="right"/>
    </xf>
    <xf numFmtId="2" fontId="0" fillId="0" borderId="0" xfId="123" applyNumberFormat="1" applyFont="1">
      <alignment/>
      <protection/>
    </xf>
    <xf numFmtId="0" fontId="0" fillId="0" borderId="0" xfId="123" applyFont="1" applyFill="1" applyBorder="1" applyAlignment="1">
      <alignment horizontal="center" vertical="center"/>
      <protection/>
    </xf>
    <xf numFmtId="43" fontId="53" fillId="0" borderId="0" xfId="89" applyFont="1" applyFill="1" applyBorder="1" applyAlignment="1">
      <alignment horizontal="right" vertical="center"/>
    </xf>
    <xf numFmtId="40" fontId="0" fillId="0" borderId="0" xfId="105" applyNumberFormat="1" applyFont="1" applyFill="1" applyBorder="1" applyAlignment="1">
      <alignment horizontal="right" vertical="center"/>
    </xf>
    <xf numFmtId="0" fontId="0" fillId="0" borderId="0" xfId="123" applyFont="1" applyFill="1" applyAlignment="1">
      <alignment vertical="center"/>
      <protection/>
    </xf>
    <xf numFmtId="0" fontId="0" fillId="0" borderId="0" xfId="123" applyFont="1" applyFill="1" applyBorder="1" applyAlignment="1">
      <alignment horizontal="center"/>
      <protection/>
    </xf>
    <xf numFmtId="0" fontId="0" fillId="0" borderId="0" xfId="123" applyFont="1" applyFill="1" applyBorder="1">
      <alignment/>
      <protection/>
    </xf>
    <xf numFmtId="0" fontId="53" fillId="0" borderId="0" xfId="123" applyFont="1" applyBorder="1" applyAlignment="1">
      <alignment horizontal="center" vertical="center"/>
      <protection/>
    </xf>
    <xf numFmtId="0" fontId="53" fillId="0" borderId="0" xfId="123" applyFont="1" applyBorder="1" applyAlignment="1">
      <alignment vertical="center"/>
      <protection/>
    </xf>
    <xf numFmtId="43" fontId="53" fillId="0" borderId="0" xfId="89" applyFont="1" applyBorder="1" applyAlignment="1">
      <alignment horizontal="center" vertical="center"/>
    </xf>
    <xf numFmtId="43" fontId="53" fillId="0" borderId="0" xfId="100" applyFont="1" applyAlignment="1">
      <alignment vertical="center"/>
    </xf>
    <xf numFmtId="2" fontId="53" fillId="0" borderId="0" xfId="123" applyNumberFormat="1" applyFont="1" applyAlignment="1">
      <alignment vertical="center"/>
      <protection/>
    </xf>
    <xf numFmtId="40" fontId="0" fillId="0" borderId="0" xfId="105" applyNumberFormat="1" applyFont="1" applyFill="1" applyBorder="1" applyAlignment="1">
      <alignment horizontal="right"/>
    </xf>
    <xf numFmtId="43" fontId="0" fillId="0" borderId="0" xfId="100" applyFont="1" applyFill="1" applyAlignment="1">
      <alignment vertical="center"/>
    </xf>
    <xf numFmtId="2" fontId="0" fillId="0" borderId="0" xfId="123" applyNumberFormat="1" applyFont="1" applyFill="1" applyAlignment="1">
      <alignment vertical="center"/>
      <protection/>
    </xf>
    <xf numFmtId="40" fontId="0" fillId="0" borderId="0" xfId="105" applyFont="1" applyAlignment="1">
      <alignment/>
    </xf>
    <xf numFmtId="40" fontId="91" fillId="0" borderId="0" xfId="105" applyNumberFormat="1" applyFont="1" applyBorder="1" applyAlignment="1">
      <alignment horizontal="left" vertical="center"/>
    </xf>
    <xf numFmtId="43" fontId="0" fillId="0" borderId="0" xfId="89" applyFont="1" applyAlignment="1">
      <alignment horizontal="center" vertical="center"/>
    </xf>
    <xf numFmtId="199" fontId="53" fillId="0" borderId="0" xfId="89" applyNumberFormat="1" applyFont="1" applyBorder="1" applyAlignment="1">
      <alignment horizontal="right" vertical="center"/>
    </xf>
    <xf numFmtId="40" fontId="53" fillId="0" borderId="0" xfId="105" applyFont="1" applyFill="1" applyBorder="1" applyAlignment="1">
      <alignment horizontal="center"/>
    </xf>
    <xf numFmtId="43" fontId="0" fillId="0" borderId="0" xfId="123" applyNumberFormat="1" applyFont="1" applyBorder="1" applyAlignment="1">
      <alignment horizontal="center"/>
      <protection/>
    </xf>
    <xf numFmtId="0" fontId="53" fillId="0" borderId="27" xfId="0" applyFont="1" applyFill="1" applyBorder="1" applyAlignment="1">
      <alignment horizontal="right"/>
    </xf>
    <xf numFmtId="43" fontId="53" fillId="0" borderId="28" xfId="0" applyNumberFormat="1" applyFont="1" applyBorder="1" applyAlignment="1">
      <alignment/>
    </xf>
    <xf numFmtId="43" fontId="53" fillId="0" borderId="0" xfId="0" applyNumberFormat="1" applyFont="1" applyBorder="1" applyAlignment="1">
      <alignment vertical="center"/>
    </xf>
    <xf numFmtId="43" fontId="53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43" fontId="53" fillId="0" borderId="61" xfId="0" applyNumberFormat="1" applyFont="1" applyBorder="1" applyAlignment="1">
      <alignment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43" fontId="0" fillId="0" borderId="0" xfId="123" applyNumberFormat="1" applyFont="1">
      <alignment/>
      <protection/>
    </xf>
    <xf numFmtId="10" fontId="0" fillId="0" borderId="0" xfId="0" applyNumberFormat="1" applyFont="1" applyFill="1" applyBorder="1" applyAlignment="1">
      <alignment horizontal="right"/>
    </xf>
    <xf numFmtId="10" fontId="0" fillId="0" borderId="0" xfId="100" applyNumberFormat="1" applyFont="1" applyBorder="1" applyAlignment="1">
      <alignment/>
    </xf>
    <xf numFmtId="10" fontId="0" fillId="0" borderId="0" xfId="100" applyNumberFormat="1" applyFont="1" applyBorder="1" applyAlignment="1">
      <alignment horizontal="right"/>
    </xf>
    <xf numFmtId="4" fontId="53" fillId="0" borderId="0" xfId="89" applyNumberFormat="1" applyFont="1" applyBorder="1" applyAlignment="1">
      <alignment horizontal="center" vertical="center"/>
    </xf>
    <xf numFmtId="0" fontId="53" fillId="0" borderId="0" xfId="127" applyFont="1" applyBorder="1" applyAlignment="1">
      <alignment vertical="center"/>
      <protection/>
    </xf>
    <xf numFmtId="0" fontId="53" fillId="0" borderId="0" xfId="127" applyFont="1" applyFill="1" applyBorder="1" applyAlignment="1">
      <alignment horizontal="center" vertical="center"/>
      <protection/>
    </xf>
    <xf numFmtId="0" fontId="0" fillId="0" borderId="0" xfId="127" applyFont="1">
      <alignment/>
      <protection/>
    </xf>
    <xf numFmtId="0" fontId="0" fillId="0" borderId="0" xfId="127" applyFont="1" applyAlignment="1">
      <alignment horizontal="center"/>
      <protection/>
    </xf>
    <xf numFmtId="0" fontId="0" fillId="0" borderId="0" xfId="127" applyFont="1" applyAlignment="1">
      <alignment wrapText="1"/>
      <protection/>
    </xf>
    <xf numFmtId="0" fontId="0" fillId="0" borderId="0" xfId="127" applyFont="1" applyAlignment="1">
      <alignment horizontal="center" wrapText="1"/>
      <protection/>
    </xf>
    <xf numFmtId="43" fontId="89" fillId="0" borderId="0" xfId="0" applyNumberFormat="1" applyFont="1" applyFill="1" applyAlignment="1">
      <alignment horizontal="center"/>
    </xf>
    <xf numFmtId="43" fontId="0" fillId="0" borderId="0" xfId="89" applyFont="1" applyAlignment="1">
      <alignment wrapText="1"/>
    </xf>
    <xf numFmtId="43" fontId="0" fillId="0" borderId="0" xfId="0" applyNumberFormat="1" applyFont="1" applyFill="1" applyAlignment="1">
      <alignment/>
    </xf>
    <xf numFmtId="0" fontId="0" fillId="0" borderId="0" xfId="127" applyFont="1" applyFill="1">
      <alignment/>
      <protection/>
    </xf>
    <xf numFmtId="0" fontId="0" fillId="0" borderId="0" xfId="127" applyFont="1" applyFill="1" applyAlignment="1">
      <alignment horizontal="center" wrapText="1"/>
      <protection/>
    </xf>
    <xf numFmtId="43" fontId="53" fillId="0" borderId="0" xfId="89" applyFont="1" applyFill="1" applyAlignment="1">
      <alignment/>
    </xf>
    <xf numFmtId="4" fontId="53" fillId="0" borderId="27" xfId="89" applyNumberFormat="1" applyFont="1" applyBorder="1" applyAlignment="1">
      <alignment horizontal="right" vertical="center"/>
    </xf>
    <xf numFmtId="10" fontId="0" fillId="0" borderId="0" xfId="89" applyNumberFormat="1" applyFont="1" applyBorder="1" applyAlignment="1">
      <alignment vertical="center"/>
    </xf>
    <xf numFmtId="4" fontId="0" fillId="0" borderId="61" xfId="89" applyNumberFormat="1" applyFont="1" applyBorder="1" applyAlignment="1">
      <alignment vertical="center"/>
    </xf>
    <xf numFmtId="10" fontId="0" fillId="0" borderId="0" xfId="89" applyNumberFormat="1" applyFont="1" applyBorder="1" applyAlignment="1">
      <alignment horizontal="right" vertical="center"/>
    </xf>
    <xf numFmtId="4" fontId="53" fillId="0" borderId="28" xfId="89" applyNumberFormat="1" applyFont="1" applyBorder="1" applyAlignment="1">
      <alignment vertical="center"/>
    </xf>
    <xf numFmtId="0" fontId="0" fillId="0" borderId="0" xfId="118" applyFont="1" applyBorder="1" applyAlignment="1">
      <alignment horizontal="center"/>
      <protection/>
    </xf>
    <xf numFmtId="0" fontId="53" fillId="0" borderId="0" xfId="118" applyFont="1" applyFill="1">
      <alignment/>
      <protection/>
    </xf>
    <xf numFmtId="0" fontId="90" fillId="0" borderId="0" xfId="124" applyFont="1" applyAlignment="1">
      <alignment horizontal="left" vertical="center"/>
      <protection/>
    </xf>
    <xf numFmtId="0" fontId="0" fillId="0" borderId="0" xfId="124" applyFont="1" applyAlignment="1">
      <alignment horizontal="center" vertical="center"/>
      <protection/>
    </xf>
    <xf numFmtId="0" fontId="0" fillId="0" borderId="0" xfId="124" applyFont="1" applyAlignment="1">
      <alignment horizontal="left" wrapText="1"/>
      <protection/>
    </xf>
    <xf numFmtId="0" fontId="0" fillId="0" borderId="0" xfId="124" applyFont="1" applyAlignment="1">
      <alignment horizontal="center" wrapText="1"/>
      <protection/>
    </xf>
    <xf numFmtId="0" fontId="3" fillId="0" borderId="0" xfId="126" applyFont="1" applyAlignment="1">
      <alignment vertical="center"/>
      <protection/>
    </xf>
    <xf numFmtId="0" fontId="3" fillId="0" borderId="0" xfId="126" applyFont="1">
      <alignment/>
      <protection/>
    </xf>
    <xf numFmtId="43" fontId="3" fillId="0" borderId="0" xfId="89" applyFont="1" applyAlignment="1">
      <alignment/>
    </xf>
    <xf numFmtId="40" fontId="3" fillId="0" borderId="0" xfId="126" applyNumberFormat="1" applyFont="1">
      <alignment/>
      <protection/>
    </xf>
    <xf numFmtId="43" fontId="0" fillId="0" borderId="0" xfId="100" applyFont="1" applyFill="1" applyBorder="1" applyAlignment="1">
      <alignment horizontal="center"/>
    </xf>
    <xf numFmtId="40" fontId="0" fillId="0" borderId="0" xfId="105" applyFont="1" applyAlignment="1">
      <alignment vertical="center"/>
    </xf>
    <xf numFmtId="43" fontId="53" fillId="0" borderId="0" xfId="89" applyFont="1" applyFill="1" applyBorder="1" applyAlignment="1">
      <alignment horizontal="center" vertical="center"/>
    </xf>
    <xf numFmtId="43" fontId="87" fillId="0" borderId="61" xfId="104" applyFont="1" applyBorder="1" applyAlignment="1">
      <alignment/>
    </xf>
    <xf numFmtId="0" fontId="53" fillId="0" borderId="0" xfId="120" applyFont="1" applyFill="1" applyBorder="1" applyAlignment="1">
      <alignment horizontal="left"/>
      <protection/>
    </xf>
    <xf numFmtId="0" fontId="53" fillId="0" borderId="0" xfId="120" applyFont="1" applyFill="1" applyBorder="1" applyAlignment="1">
      <alignment horizontal="right"/>
      <protection/>
    </xf>
    <xf numFmtId="0" fontId="0" fillId="0" borderId="44" xfId="120" applyFont="1" applyFill="1" applyBorder="1">
      <alignment/>
      <protection/>
    </xf>
    <xf numFmtId="0" fontId="53" fillId="0" borderId="0" xfId="120" applyFont="1" applyFill="1" applyBorder="1">
      <alignment/>
      <protection/>
    </xf>
    <xf numFmtId="0" fontId="3" fillId="0" borderId="0" xfId="120" applyFont="1" applyFill="1" applyBorder="1" applyAlignment="1" applyProtection="1">
      <alignment vertical="center"/>
      <protection/>
    </xf>
    <xf numFmtId="0" fontId="0" fillId="0" borderId="73" xfId="120" applyFont="1" applyFill="1" applyBorder="1">
      <alignment/>
      <protection/>
    </xf>
    <xf numFmtId="0" fontId="0" fillId="0" borderId="0" xfId="120" applyFont="1" applyFill="1">
      <alignment/>
      <protection/>
    </xf>
    <xf numFmtId="43" fontId="87" fillId="0" borderId="0" xfId="89" applyFont="1" applyFill="1" applyBorder="1" applyAlignment="1">
      <alignment horizontal="right" vertical="center"/>
    </xf>
    <xf numFmtId="0" fontId="0" fillId="0" borderId="0" xfId="118" applyFont="1" applyFill="1" applyAlignment="1">
      <alignment horizontal="center"/>
      <protection/>
    </xf>
    <xf numFmtId="43" fontId="0" fillId="0" borderId="0" xfId="118" applyNumberFormat="1" applyFont="1" applyFill="1" applyAlignment="1">
      <alignment horizontal="center"/>
      <protection/>
    </xf>
    <xf numFmtId="0" fontId="91" fillId="0" borderId="0" xfId="118" applyFont="1" applyFill="1">
      <alignment/>
      <protection/>
    </xf>
    <xf numFmtId="4" fontId="3" fillId="0" borderId="83" xfId="120" applyNumberFormat="1" applyFont="1" applyBorder="1" applyAlignment="1" applyProtection="1">
      <alignment horizontal="center"/>
      <protection/>
    </xf>
    <xf numFmtId="172" fontId="3" fillId="47" borderId="83" xfId="120" applyNumberFormat="1" applyFont="1" applyFill="1" applyBorder="1" applyAlignment="1" applyProtection="1">
      <alignment/>
      <protection/>
    </xf>
    <xf numFmtId="0" fontId="3" fillId="0" borderId="22" xfId="125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55" fillId="0" borderId="26" xfId="123" applyFont="1" applyBorder="1" applyAlignment="1">
      <alignment vertical="center"/>
      <protection/>
    </xf>
    <xf numFmtId="0" fontId="54" fillId="0" borderId="26" xfId="123" applyFont="1" applyBorder="1" applyAlignment="1">
      <alignment horizontal="center" vertical="center"/>
      <protection/>
    </xf>
    <xf numFmtId="0" fontId="54" fillId="0" borderId="27" xfId="0" applyFont="1" applyFill="1" applyBorder="1" applyAlignment="1">
      <alignment horizontal="right" vertical="center"/>
    </xf>
    <xf numFmtId="43" fontId="54" fillId="0" borderId="28" xfId="0" applyNumberFormat="1" applyFont="1" applyBorder="1" applyAlignment="1">
      <alignment vertical="center"/>
    </xf>
    <xf numFmtId="0" fontId="0" fillId="0" borderId="0" xfId="123" applyFont="1" applyFill="1" applyBorder="1" applyAlignment="1">
      <alignment vertical="center" wrapText="1"/>
      <protection/>
    </xf>
    <xf numFmtId="4" fontId="55" fillId="47" borderId="44" xfId="120" applyNumberFormat="1" applyFont="1" applyFill="1" applyBorder="1" applyAlignment="1" applyProtection="1">
      <alignment/>
      <protection/>
    </xf>
    <xf numFmtId="4" fontId="55" fillId="47" borderId="44" xfId="120" applyNumberFormat="1" applyFont="1" applyFill="1" applyBorder="1" applyAlignment="1" applyProtection="1">
      <alignment horizontal="center"/>
      <protection/>
    </xf>
    <xf numFmtId="0" fontId="53" fillId="47" borderId="0" xfId="120" applyFont="1" applyFill="1" applyBorder="1">
      <alignment/>
      <protection/>
    </xf>
    <xf numFmtId="0" fontId="3" fillId="47" borderId="0" xfId="120" applyFont="1" applyFill="1" applyBorder="1" applyAlignment="1" applyProtection="1">
      <alignment vertical="center"/>
      <protection/>
    </xf>
    <xf numFmtId="0" fontId="53" fillId="47" borderId="44" xfId="120" applyFont="1" applyFill="1" applyBorder="1">
      <alignment/>
      <protection/>
    </xf>
    <xf numFmtId="4" fontId="58" fillId="47" borderId="44" xfId="120" applyNumberFormat="1" applyFont="1" applyFill="1" applyBorder="1" applyAlignment="1" applyProtection="1">
      <alignment horizontal="center"/>
      <protection/>
    </xf>
    <xf numFmtId="0" fontId="0" fillId="47" borderId="44" xfId="120" applyFont="1" applyFill="1" applyBorder="1">
      <alignment/>
      <protection/>
    </xf>
    <xf numFmtId="4" fontId="57" fillId="47" borderId="44" xfId="120" applyNumberFormat="1" applyFont="1" applyFill="1" applyBorder="1" applyAlignment="1" applyProtection="1">
      <alignment/>
      <protection/>
    </xf>
    <xf numFmtId="0" fontId="53" fillId="0" borderId="0" xfId="120" applyFont="1" applyBorder="1" applyAlignment="1">
      <alignment vertical="center"/>
      <protection/>
    </xf>
    <xf numFmtId="0" fontId="0" fillId="47" borderId="44" xfId="120" applyFont="1" applyFill="1" applyBorder="1" applyAlignment="1">
      <alignment vertical="center"/>
      <protection/>
    </xf>
    <xf numFmtId="4" fontId="57" fillId="47" borderId="44" xfId="120" applyNumberFormat="1" applyFont="1" applyFill="1" applyBorder="1" applyAlignment="1" applyProtection="1">
      <alignment vertical="center"/>
      <protection/>
    </xf>
    <xf numFmtId="4" fontId="55" fillId="47" borderId="44" xfId="120" applyNumberFormat="1" applyFont="1" applyFill="1" applyBorder="1" applyAlignment="1">
      <alignment horizontal="center" vertical="center"/>
      <protection/>
    </xf>
    <xf numFmtId="4" fontId="54" fillId="47" borderId="44" xfId="120" applyNumberFormat="1" applyFont="1" applyFill="1" applyBorder="1" applyAlignment="1">
      <alignment vertical="center"/>
      <protection/>
    </xf>
    <xf numFmtId="0" fontId="0" fillId="0" borderId="0" xfId="120" applyFont="1" applyBorder="1" applyAlignment="1">
      <alignment vertical="center"/>
      <protection/>
    </xf>
    <xf numFmtId="43" fontId="55" fillId="47" borderId="44" xfId="89" applyFont="1" applyFill="1" applyBorder="1" applyAlignment="1">
      <alignment/>
    </xf>
    <xf numFmtId="0" fontId="4" fillId="47" borderId="0" xfId="120" applyFont="1" applyFill="1" applyBorder="1" applyAlignment="1" applyProtection="1">
      <alignment vertical="center"/>
      <protection/>
    </xf>
    <xf numFmtId="0" fontId="0" fillId="47" borderId="0" xfId="120" applyFont="1" applyFill="1" applyBorder="1">
      <alignment/>
      <protection/>
    </xf>
    <xf numFmtId="4" fontId="57" fillId="47" borderId="44" xfId="120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Fill="1" applyAlignment="1">
      <alignment horizontal="center"/>
    </xf>
    <xf numFmtId="0" fontId="53" fillId="0" borderId="0" xfId="123" applyFont="1" applyFill="1" applyBorder="1" applyAlignment="1">
      <alignment horizontal="center" vertical="center"/>
      <protection/>
    </xf>
    <xf numFmtId="0" fontId="53" fillId="0" borderId="0" xfId="123" applyFont="1" applyFill="1" applyBorder="1" applyAlignment="1">
      <alignment horizontal="left" vertical="center"/>
      <protection/>
    </xf>
    <xf numFmtId="0" fontId="0" fillId="50" borderId="0" xfId="123" applyFont="1" applyFill="1" applyAlignment="1">
      <alignment vertical="center"/>
      <protection/>
    </xf>
    <xf numFmtId="0" fontId="0" fillId="0" borderId="0" xfId="123" applyFont="1" applyBorder="1" applyAlignment="1">
      <alignment vertical="center" wrapText="1"/>
      <protection/>
    </xf>
    <xf numFmtId="0" fontId="53" fillId="0" borderId="0" xfId="123" applyFont="1" applyFill="1" applyBorder="1" applyAlignment="1">
      <alignment vertical="center"/>
      <protection/>
    </xf>
    <xf numFmtId="40" fontId="53" fillId="0" borderId="0" xfId="105" applyNumberFormat="1" applyFont="1" applyFill="1" applyBorder="1" applyAlignment="1">
      <alignment horizontal="right" vertical="center"/>
    </xf>
    <xf numFmtId="43" fontId="53" fillId="0" borderId="0" xfId="100" applyFont="1" applyFill="1" applyAlignment="1">
      <alignment vertical="center"/>
    </xf>
    <xf numFmtId="0" fontId="53" fillId="0" borderId="0" xfId="123" applyFont="1" applyFill="1" applyAlignment="1">
      <alignment vertical="center"/>
      <protection/>
    </xf>
    <xf numFmtId="2" fontId="53" fillId="0" borderId="0" xfId="123" applyNumberFormat="1" applyFont="1" applyFill="1" applyAlignment="1">
      <alignment vertical="center"/>
      <protection/>
    </xf>
    <xf numFmtId="4" fontId="90" fillId="0" borderId="0" xfId="89" applyNumberFormat="1" applyFont="1" applyBorder="1" applyAlignment="1">
      <alignment horizontal="center" vertical="center"/>
    </xf>
    <xf numFmtId="43" fontId="89" fillId="0" borderId="0" xfId="0" applyNumberFormat="1" applyFont="1" applyFill="1" applyAlignment="1">
      <alignment/>
    </xf>
    <xf numFmtId="0" fontId="91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0" fillId="0" borderId="0" xfId="127" applyFont="1" applyFill="1" applyAlignment="1">
      <alignment vertical="center" wrapText="1"/>
      <protection/>
    </xf>
    <xf numFmtId="43" fontId="89" fillId="0" borderId="0" xfId="0" applyNumberFormat="1" applyFont="1" applyFill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43" fontId="0" fillId="0" borderId="0" xfId="89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0" fillId="0" borderId="0" xfId="118" applyFont="1" applyFill="1">
      <alignment/>
      <protection/>
    </xf>
    <xf numFmtId="43" fontId="53" fillId="0" borderId="61" xfId="0" applyNumberFormat="1" applyFont="1" applyFill="1" applyBorder="1" applyAlignment="1">
      <alignment/>
    </xf>
    <xf numFmtId="43" fontId="90" fillId="0" borderId="61" xfId="0" applyNumberFormat="1" applyFont="1" applyFill="1" applyBorder="1" applyAlignment="1">
      <alignment/>
    </xf>
    <xf numFmtId="0" fontId="53" fillId="0" borderId="0" xfId="124" applyFont="1" applyFill="1" applyAlignment="1">
      <alignment horizontal="center" vertical="center"/>
      <protection/>
    </xf>
    <xf numFmtId="0" fontId="0" fillId="0" borderId="0" xfId="124" applyFont="1" applyFill="1" applyAlignment="1">
      <alignment horizontal="center" vertical="center"/>
      <protection/>
    </xf>
    <xf numFmtId="43" fontId="0" fillId="0" borderId="0" xfId="123" applyNumberFormat="1" applyFont="1" applyFill="1" applyBorder="1">
      <alignment/>
      <protection/>
    </xf>
    <xf numFmtId="43" fontId="0" fillId="0" borderId="0" xfId="123" applyNumberFormat="1" applyFont="1" applyFill="1" applyBorder="1" applyAlignment="1">
      <alignment vertical="center"/>
      <protection/>
    </xf>
    <xf numFmtId="43" fontId="0" fillId="0" borderId="0" xfId="100" applyFont="1" applyFill="1" applyBorder="1" applyAlignment="1">
      <alignment horizontal="center" vertical="center"/>
    </xf>
    <xf numFmtId="43" fontId="53" fillId="0" borderId="0" xfId="123" applyNumberFormat="1" applyFont="1" applyFill="1" applyBorder="1" applyAlignment="1">
      <alignment vertical="center"/>
      <protection/>
    </xf>
    <xf numFmtId="43" fontId="53" fillId="0" borderId="0" xfId="100" applyFont="1" applyFill="1" applyBorder="1" applyAlignment="1">
      <alignment horizontal="center" vertical="center"/>
    </xf>
    <xf numFmtId="43" fontId="0" fillId="0" borderId="0" xfId="118" applyNumberFormat="1" applyFont="1" applyFill="1" applyAlignment="1">
      <alignment vertical="center"/>
      <protection/>
    </xf>
    <xf numFmtId="0" fontId="53" fillId="0" borderId="0" xfId="124" applyFont="1" applyFill="1" applyAlignment="1">
      <alignment horizontal="left" wrapText="1"/>
      <protection/>
    </xf>
    <xf numFmtId="0" fontId="53" fillId="0" borderId="0" xfId="126" applyFont="1" applyFill="1" applyAlignment="1">
      <alignment vertical="center"/>
      <protection/>
    </xf>
    <xf numFmtId="0" fontId="53" fillId="0" borderId="0" xfId="126" applyFont="1" applyFill="1">
      <alignment/>
      <protection/>
    </xf>
    <xf numFmtId="40" fontId="53" fillId="0" borderId="0" xfId="126" applyNumberFormat="1" applyFont="1" applyFill="1">
      <alignment/>
      <protection/>
    </xf>
    <xf numFmtId="0" fontId="55" fillId="0" borderId="0" xfId="118" applyFont="1" applyBorder="1">
      <alignment/>
      <protection/>
    </xf>
    <xf numFmtId="0" fontId="54" fillId="0" borderId="0" xfId="118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right"/>
    </xf>
    <xf numFmtId="43" fontId="54" fillId="0" borderId="0" xfId="118" applyNumberFormat="1" applyFont="1" applyFill="1" applyBorder="1" applyAlignment="1">
      <alignment/>
      <protection/>
    </xf>
    <xf numFmtId="43" fontId="53" fillId="0" borderId="83" xfId="89" applyFont="1" applyBorder="1" applyAlignment="1">
      <alignment horizontal="center"/>
    </xf>
    <xf numFmtId="204" fontId="53" fillId="0" borderId="83" xfId="0" applyNumberFormat="1" applyFont="1" applyFill="1" applyBorder="1" applyAlignment="1">
      <alignment horizontal="center"/>
    </xf>
    <xf numFmtId="43" fontId="87" fillId="38" borderId="0" xfId="89" applyFont="1" applyFill="1" applyAlignment="1">
      <alignment/>
    </xf>
    <xf numFmtId="43" fontId="87" fillId="48" borderId="0" xfId="89" applyFont="1" applyFill="1" applyAlignment="1">
      <alignment vertical="center"/>
    </xf>
    <xf numFmtId="43" fontId="87" fillId="52" borderId="0" xfId="89" applyFont="1" applyFill="1" applyAlignment="1">
      <alignment vertical="center"/>
    </xf>
    <xf numFmtId="43" fontId="87" fillId="0" borderId="0" xfId="89" applyFont="1" applyAlignment="1">
      <alignment/>
    </xf>
    <xf numFmtId="43" fontId="87" fillId="0" borderId="0" xfId="89" applyFont="1" applyAlignment="1">
      <alignment horizontal="center" vertical="center" wrapText="1"/>
    </xf>
    <xf numFmtId="43" fontId="91" fillId="0" borderId="0" xfId="89" applyFont="1" applyFill="1" applyBorder="1" applyAlignment="1">
      <alignment horizontal="centerContinuous"/>
    </xf>
    <xf numFmtId="43" fontId="91" fillId="0" borderId="0" xfId="89" applyFont="1" applyFill="1" applyBorder="1" applyAlignment="1">
      <alignment horizontal="center" vertical="center"/>
    </xf>
    <xf numFmtId="43" fontId="91" fillId="0" borderId="0" xfId="89" applyFont="1" applyBorder="1" applyAlignment="1">
      <alignment horizontal="right"/>
    </xf>
    <xf numFmtId="43" fontId="87" fillId="0" borderId="0" xfId="89" applyFont="1" applyFill="1" applyBorder="1" applyAlignment="1">
      <alignment horizontal="right"/>
    </xf>
    <xf numFmtId="43" fontId="87" fillId="0" borderId="0" xfId="89" applyFont="1" applyBorder="1" applyAlignment="1">
      <alignment horizontal="right"/>
    </xf>
    <xf numFmtId="43" fontId="91" fillId="0" borderId="0" xfId="89" applyFont="1" applyBorder="1" applyAlignment="1">
      <alignment horizontal="right" vertical="center"/>
    </xf>
    <xf numFmtId="43" fontId="91" fillId="0" borderId="0" xfId="89" applyFont="1" applyFill="1" applyBorder="1" applyAlignment="1">
      <alignment horizontal="right" vertical="center"/>
    </xf>
    <xf numFmtId="43" fontId="87" fillId="0" borderId="0" xfId="89" applyFont="1" applyAlignment="1">
      <alignment vertical="center"/>
    </xf>
    <xf numFmtId="43" fontId="87" fillId="0" borderId="0" xfId="89" applyFont="1" applyBorder="1" applyAlignment="1">
      <alignment/>
    </xf>
    <xf numFmtId="0" fontId="87" fillId="0" borderId="27" xfId="123" applyFont="1" applyBorder="1">
      <alignment/>
      <protection/>
    </xf>
    <xf numFmtId="0" fontId="87" fillId="0" borderId="0" xfId="123" applyFont="1">
      <alignment/>
      <protection/>
    </xf>
    <xf numFmtId="0" fontId="87" fillId="0" borderId="0" xfId="123" applyFont="1" applyFill="1">
      <alignment/>
      <protection/>
    </xf>
    <xf numFmtId="0" fontId="91" fillId="0" borderId="0" xfId="123" applyFont="1" applyFill="1">
      <alignment/>
      <protection/>
    </xf>
    <xf numFmtId="0" fontId="86" fillId="0" borderId="27" xfId="123" applyFont="1" applyBorder="1" applyAlignment="1">
      <alignment vertical="center"/>
      <protection/>
    </xf>
    <xf numFmtId="0" fontId="87" fillId="0" borderId="0" xfId="0" applyFont="1" applyAlignment="1">
      <alignment/>
    </xf>
    <xf numFmtId="4" fontId="87" fillId="0" borderId="0" xfId="89" applyNumberFormat="1" applyFont="1" applyBorder="1" applyAlignment="1">
      <alignment vertical="center"/>
    </xf>
    <xf numFmtId="4" fontId="87" fillId="0" borderId="0" xfId="89" applyNumberFormat="1" applyFont="1" applyFill="1" applyBorder="1" applyAlignment="1">
      <alignment vertical="center"/>
    </xf>
    <xf numFmtId="0" fontId="87" fillId="0" borderId="0" xfId="127" applyFont="1">
      <alignment/>
      <protection/>
    </xf>
    <xf numFmtId="43" fontId="87" fillId="0" borderId="0" xfId="0" applyNumberFormat="1" applyFont="1" applyFill="1" applyAlignment="1">
      <alignment vertical="center"/>
    </xf>
    <xf numFmtId="4" fontId="86" fillId="0" borderId="27" xfId="89" applyNumberFormat="1" applyFont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4" fontId="87" fillId="0" borderId="27" xfId="89" applyNumberFormat="1" applyFont="1" applyBorder="1" applyAlignment="1">
      <alignment vertical="center"/>
    </xf>
    <xf numFmtId="0" fontId="85" fillId="0" borderId="27" xfId="118" applyFont="1" applyFill="1" applyBorder="1" applyAlignment="1">
      <alignment horizontal="center"/>
      <protection/>
    </xf>
    <xf numFmtId="0" fontId="87" fillId="0" borderId="0" xfId="118" applyFont="1">
      <alignment/>
      <protection/>
    </xf>
    <xf numFmtId="0" fontId="85" fillId="0" borderId="0" xfId="118" applyFont="1" applyFill="1" applyBorder="1" applyAlignment="1">
      <alignment horizontal="center"/>
      <protection/>
    </xf>
    <xf numFmtId="0" fontId="87" fillId="0" borderId="0" xfId="118" applyFont="1" applyFill="1">
      <alignment/>
      <protection/>
    </xf>
    <xf numFmtId="43" fontId="87" fillId="0" borderId="0" xfId="118" applyNumberFormat="1" applyFont="1" applyFill="1">
      <alignment/>
      <protection/>
    </xf>
    <xf numFmtId="0" fontId="91" fillId="0" borderId="0" xfId="124" applyFont="1" applyFill="1" applyAlignment="1">
      <alignment horizontal="left" wrapText="1"/>
      <protection/>
    </xf>
    <xf numFmtId="0" fontId="87" fillId="0" borderId="0" xfId="124" applyFont="1" applyAlignment="1">
      <alignment horizontal="left" wrapText="1"/>
      <protection/>
    </xf>
    <xf numFmtId="43" fontId="90" fillId="0" borderId="91" xfId="89" applyFont="1" applyFill="1" applyBorder="1" applyAlignment="1">
      <alignment horizontal="centerContinuous"/>
    </xf>
    <xf numFmtId="43" fontId="89" fillId="0" borderId="0" xfId="89" applyFont="1" applyFill="1" applyBorder="1" applyAlignment="1">
      <alignment horizontal="right" vertical="center"/>
    </xf>
    <xf numFmtId="43" fontId="89" fillId="0" borderId="0" xfId="89" applyFont="1" applyBorder="1" applyAlignment="1">
      <alignment horizontal="right"/>
    </xf>
    <xf numFmtId="43" fontId="89" fillId="0" borderId="0" xfId="89" applyFont="1" applyFill="1" applyBorder="1" applyAlignment="1">
      <alignment horizontal="right"/>
    </xf>
    <xf numFmtId="43" fontId="89" fillId="0" borderId="0" xfId="89" applyFont="1" applyAlignment="1">
      <alignment/>
    </xf>
    <xf numFmtId="43" fontId="89" fillId="0" borderId="0" xfId="89" applyFont="1" applyFill="1" applyBorder="1" applyAlignment="1">
      <alignment horizontal="center" vertical="center"/>
    </xf>
    <xf numFmtId="43" fontId="89" fillId="0" borderId="0" xfId="0" applyNumberFormat="1" applyFont="1" applyAlignment="1">
      <alignment/>
    </xf>
    <xf numFmtId="43" fontId="89" fillId="0" borderId="0" xfId="89" applyFont="1" applyBorder="1" applyAlignment="1">
      <alignment horizontal="right" vertical="center"/>
    </xf>
    <xf numFmtId="43" fontId="89" fillId="0" borderId="0" xfId="118" applyNumberFormat="1" applyFont="1" applyFill="1" applyAlignment="1">
      <alignment horizontal="right"/>
      <protection/>
    </xf>
    <xf numFmtId="0" fontId="89" fillId="0" borderId="0" xfId="118" applyFont="1" applyFill="1">
      <alignment/>
      <protection/>
    </xf>
    <xf numFmtId="4" fontId="54" fillId="0" borderId="28" xfId="89" applyNumberFormat="1" applyFont="1" applyFill="1" applyBorder="1" applyAlignment="1">
      <alignment vertical="center"/>
    </xf>
    <xf numFmtId="4" fontId="89" fillId="47" borderId="0" xfId="89" applyNumberFormat="1" applyFont="1" applyFill="1" applyBorder="1" applyAlignment="1">
      <alignment horizontal="center" vertical="center"/>
    </xf>
    <xf numFmtId="0" fontId="0" fillId="47" borderId="0" xfId="127" applyFont="1" applyFill="1" applyAlignment="1">
      <alignment wrapText="1"/>
      <protection/>
    </xf>
    <xf numFmtId="0" fontId="89" fillId="47" borderId="0" xfId="127" applyFont="1" applyFill="1" applyAlignment="1">
      <alignment horizontal="center" wrapText="1"/>
      <protection/>
    </xf>
    <xf numFmtId="43" fontId="89" fillId="47" borderId="0" xfId="0" applyNumberFormat="1" applyFont="1" applyFill="1" applyAlignment="1">
      <alignment horizontal="center"/>
    </xf>
    <xf numFmtId="43" fontId="89" fillId="47" borderId="0" xfId="0" applyNumberFormat="1" applyFont="1" applyFill="1" applyAlignment="1">
      <alignment/>
    </xf>
    <xf numFmtId="43" fontId="89" fillId="47" borderId="0" xfId="89" applyFont="1" applyFill="1" applyAlignment="1">
      <alignment wrapText="1"/>
    </xf>
    <xf numFmtId="0" fontId="0" fillId="47" borderId="0" xfId="123" applyFont="1" applyFill="1" applyBorder="1" applyAlignment="1">
      <alignment horizontal="center" vertical="center"/>
      <protection/>
    </xf>
    <xf numFmtId="0" fontId="0" fillId="47" borderId="0" xfId="123" applyFont="1" applyFill="1" applyBorder="1" applyAlignment="1">
      <alignment vertical="center"/>
      <protection/>
    </xf>
    <xf numFmtId="43" fontId="0" fillId="47" borderId="0" xfId="89" applyFont="1" applyFill="1" applyBorder="1" applyAlignment="1">
      <alignment horizontal="center" vertical="center"/>
    </xf>
    <xf numFmtId="43" fontId="89" fillId="47" borderId="0" xfId="89" applyFont="1" applyFill="1" applyBorder="1" applyAlignment="1">
      <alignment horizontal="right" vertical="center"/>
    </xf>
    <xf numFmtId="43" fontId="0" fillId="47" borderId="0" xfId="89" applyFont="1" applyFill="1" applyBorder="1" applyAlignment="1">
      <alignment horizontal="right" vertical="center"/>
    </xf>
    <xf numFmtId="43" fontId="53" fillId="47" borderId="0" xfId="89" applyFont="1" applyFill="1" applyBorder="1" applyAlignment="1">
      <alignment horizontal="right" vertical="center"/>
    </xf>
    <xf numFmtId="0" fontId="53" fillId="0" borderId="92" xfId="122" applyFont="1" applyBorder="1" applyAlignment="1">
      <alignment horizontal="center" vertical="center" wrapText="1"/>
      <protection/>
    </xf>
    <xf numFmtId="0" fontId="53" fillId="0" borderId="93" xfId="122" applyFont="1" applyBorder="1" applyAlignment="1">
      <alignment horizontal="center" vertical="center" wrapText="1"/>
      <protection/>
    </xf>
    <xf numFmtId="0" fontId="53" fillId="0" borderId="94" xfId="122" applyFont="1" applyBorder="1" applyAlignment="1">
      <alignment horizontal="center" vertical="center" wrapText="1"/>
      <protection/>
    </xf>
    <xf numFmtId="0" fontId="56" fillId="0" borderId="0" xfId="120" applyFont="1" applyAlignment="1">
      <alignment horizontal="center"/>
      <protection/>
    </xf>
    <xf numFmtId="0" fontId="11" fillId="0" borderId="0" xfId="120" applyFont="1" applyAlignment="1" applyProtection="1">
      <alignment horizontal="center" vertical="center" wrapText="1"/>
      <protection/>
    </xf>
    <xf numFmtId="43" fontId="59" fillId="0" borderId="0" xfId="104" applyFont="1" applyAlignment="1">
      <alignment horizontal="center" vertical="center"/>
    </xf>
    <xf numFmtId="43" fontId="48" fillId="0" borderId="0" xfId="104" applyFont="1" applyAlignment="1">
      <alignment horizontal="left" vertical="center"/>
    </xf>
    <xf numFmtId="43" fontId="59" fillId="0" borderId="0" xfId="104" applyFont="1" applyAlignment="1">
      <alignment horizontal="center" vertical="center" wrapText="1"/>
    </xf>
    <xf numFmtId="43" fontId="48" fillId="0" borderId="0" xfId="104" applyFont="1" applyBorder="1" applyAlignment="1">
      <alignment wrapText="1"/>
    </xf>
    <xf numFmtId="0" fontId="0" fillId="0" borderId="0" xfId="124" applyFont="1" applyFill="1" applyAlignment="1">
      <alignment horizontal="left" vertical="center" wrapText="1"/>
      <protection/>
    </xf>
    <xf numFmtId="0" fontId="53" fillId="0" borderId="0" xfId="124" applyFont="1" applyFill="1" applyAlignment="1">
      <alignment horizontal="left" vertical="center" wrapText="1"/>
      <protection/>
    </xf>
    <xf numFmtId="0" fontId="89" fillId="0" borderId="77" xfId="0" applyFont="1" applyBorder="1" applyAlignment="1">
      <alignment horizontal="left"/>
    </xf>
    <xf numFmtId="0" fontId="89" fillId="0" borderId="20" xfId="0" applyFont="1" applyBorder="1" applyAlignment="1">
      <alignment horizontal="left"/>
    </xf>
    <xf numFmtId="0" fontId="90" fillId="0" borderId="26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0" fillId="0" borderId="0" xfId="124" applyFont="1" applyFill="1" applyAlignment="1">
      <alignment horizontal="left" wrapText="1"/>
      <protection/>
    </xf>
    <xf numFmtId="0" fontId="89" fillId="0" borderId="6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2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89" fillId="0" borderId="47" xfId="0" applyFont="1" applyBorder="1" applyAlignment="1">
      <alignment horizontal="left"/>
    </xf>
    <xf numFmtId="0" fontId="89" fillId="0" borderId="95" xfId="0" applyFont="1" applyBorder="1" applyAlignment="1">
      <alignment horizontal="left"/>
    </xf>
    <xf numFmtId="0" fontId="89" fillId="0" borderId="6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40" fontId="54" fillId="0" borderId="0" xfId="105" applyFont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3" fillId="0" borderId="26" xfId="123" applyFont="1" applyBorder="1" applyAlignment="1">
      <alignment horizontal="left"/>
      <protection/>
    </xf>
    <xf numFmtId="0" fontId="53" fillId="0" borderId="27" xfId="123" applyFont="1" applyBorder="1" applyAlignment="1">
      <alignment horizontal="left"/>
      <protection/>
    </xf>
  </cellXfs>
  <cellStyles count="1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11" xfId="64"/>
    <cellStyle name="Comma_PRESUPUESTO CAYACOA LOS LLANOS." xfId="65"/>
    <cellStyle name="Currency 2" xfId="66"/>
    <cellStyle name="Emphasis 1" xfId="67"/>
    <cellStyle name="Emphasis 2" xfId="68"/>
    <cellStyle name="Emphasis 3" xfId="69"/>
    <cellStyle name="Encabezado 4" xfId="70"/>
    <cellStyle name="Énfasis1" xfId="71"/>
    <cellStyle name="Énfasis2" xfId="72"/>
    <cellStyle name="Énfasis3" xfId="73"/>
    <cellStyle name="Énfasis4" xfId="74"/>
    <cellStyle name="Énfasis5" xfId="75"/>
    <cellStyle name="Énfasis6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Millares 10 2" xfId="91"/>
    <cellStyle name="Millares 11" xfId="92"/>
    <cellStyle name="Millares 12" xfId="93"/>
    <cellStyle name="Millares 2" xfId="94"/>
    <cellStyle name="Millares 2 10" xfId="95"/>
    <cellStyle name="Millares 2 2" xfId="96"/>
    <cellStyle name="Millares 24" xfId="97"/>
    <cellStyle name="Millares 3" xfId="98"/>
    <cellStyle name="Millares 4" xfId="99"/>
    <cellStyle name="Millares 4 2" xfId="100"/>
    <cellStyle name="Millares 4 2 2" xfId="101"/>
    <cellStyle name="Millares 5" xfId="102"/>
    <cellStyle name="Millares 7" xfId="103"/>
    <cellStyle name="Millares_ANALISIS  CARRETERA VILLA ELISA EL PAPAYO" xfId="104"/>
    <cellStyle name="Millares_Formato Pres." xfId="105"/>
    <cellStyle name="Currency" xfId="106"/>
    <cellStyle name="Currency [0]" xfId="107"/>
    <cellStyle name="Moneda 2" xfId="108"/>
    <cellStyle name="Moneda 2 2" xfId="109"/>
    <cellStyle name="Neutral" xfId="110"/>
    <cellStyle name="No-definido" xfId="111"/>
    <cellStyle name="Normal - Style1" xfId="112"/>
    <cellStyle name="Normal 10 2" xfId="113"/>
    <cellStyle name="Normal 16 2" xfId="114"/>
    <cellStyle name="Normal 2" xfId="115"/>
    <cellStyle name="Normal 2 2 2 4" xfId="116"/>
    <cellStyle name="Normal 2 3" xfId="117"/>
    <cellStyle name="Normal 3" xfId="118"/>
    <cellStyle name="Normal 3 2" xfId="119"/>
    <cellStyle name="Normal_18" xfId="120"/>
    <cellStyle name="Normal_ANALISIS CORTE Y ACOPIO MATERIALES II" xfId="121"/>
    <cellStyle name="Normal_Aulas 1 Adicionales UASD-BONAO 24 Julio 2007-1" xfId="122"/>
    <cellStyle name="Normal_Formato Pres." xfId="123"/>
    <cellStyle name="Normal_Presp. Recon. Car. cruce Carretera  mella-guerra-bayaguana  2" xfId="124"/>
    <cellStyle name="Normal_Puentes" xfId="125"/>
    <cellStyle name="Normal_Xl0000018" xfId="126"/>
    <cellStyle name="Normal_Xl0000020" xfId="127"/>
    <cellStyle name="Notas" xfId="128"/>
    <cellStyle name="Note" xfId="129"/>
    <cellStyle name="Output" xfId="130"/>
    <cellStyle name="Percent" xfId="131"/>
    <cellStyle name="Porcentaje 2" xfId="132"/>
    <cellStyle name="Porcentual 2" xfId="133"/>
    <cellStyle name="Porcentual 3" xfId="134"/>
    <cellStyle name="Porcentual 5" xfId="135"/>
    <cellStyle name="Salida" xfId="136"/>
    <cellStyle name="Sheet Title" xfId="137"/>
    <cellStyle name="Texto de advertencia" xfId="138"/>
    <cellStyle name="Texto explicativo" xfId="139"/>
    <cellStyle name="Título" xfId="140"/>
    <cellStyle name="Título 1" xfId="141"/>
    <cellStyle name="Título 2" xfId="142"/>
    <cellStyle name="Título 3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Presupuesto%20Reconstruccion%20Duarte%20santiago-Sto%20Dgo%20completa%20seo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mmota\Mis%20documentos\ANALISIS%20%20BASE%20OZO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Rel%20Partid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ania%20M\Desktop\2015%2001Ene%2024%20txt%2015va%20Edic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esktop\ALBANIA\QUORUM\PUENTES%20PROV.%20ESPAILLAT\Presupuesto%20%20PUENTE%20LOS%20MEDINAS-MOCA-%20PROV.%20%20ESPAILL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San%20Francisco%20de%20Macoris\Analisis%20de%20Precios%20Unitar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EVALUACION%20CALLES%20DE%20BONAO%20-SEPT%202007-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Documents%20and%20Settings\Raul%20N.%20%20Rizek\My%20Documents\Carretera%20Sto.%20Dgo.%20-%20Samana\Precios%20Rincon%20de%20Molinill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Documents%20and%20Settings\a\Mis%20documentos\Maximo\Maria%20Angelica\OISOE%20EVA\Calles\Demja%20-%20Hato%20Mayor\Analisis%20Dic%2005%20-%20Dem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-22-9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imbornal"/>
      <sheetName val="Preszona1"/>
    </sheetNames>
    <sheetDataSet>
      <sheetData sheetId="0">
        <row r="3">
          <cell r="F3">
            <v>950</v>
          </cell>
        </row>
        <row r="5">
          <cell r="F5">
            <v>950</v>
          </cell>
        </row>
        <row r="7">
          <cell r="F7">
            <v>250</v>
          </cell>
        </row>
        <row r="11">
          <cell r="F11">
            <v>37</v>
          </cell>
        </row>
        <row r="13">
          <cell r="F13">
            <v>1450</v>
          </cell>
        </row>
        <row r="15">
          <cell r="F15">
            <v>23</v>
          </cell>
        </row>
        <row r="17">
          <cell r="F17">
            <v>50</v>
          </cell>
        </row>
        <row r="18">
          <cell r="F18">
            <v>35</v>
          </cell>
        </row>
      </sheetData>
      <sheetData sheetId="1">
        <row r="26">
          <cell r="H26">
            <v>2717.1879999999996</v>
          </cell>
        </row>
        <row r="79">
          <cell r="H79">
            <v>2510.5959999999995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 Gral (Rel Partidas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Mano de Obra"/>
    </sheetNames>
    <sheetDataSet>
      <sheetData sheetId="5">
        <row r="27">
          <cell r="D27">
            <v>664.51</v>
          </cell>
        </row>
        <row r="38">
          <cell r="D38">
            <v>1550.92</v>
          </cell>
        </row>
        <row r="48">
          <cell r="D48">
            <v>1231.19</v>
          </cell>
        </row>
        <row r="58">
          <cell r="D58">
            <v>984.24</v>
          </cell>
        </row>
        <row r="61">
          <cell r="D61">
            <v>748.16</v>
          </cell>
        </row>
        <row r="70">
          <cell r="D70">
            <v>565.49</v>
          </cell>
        </row>
        <row r="80">
          <cell r="D80">
            <v>516.57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 PUENTE "/>
      <sheetName val="MATERIALES"/>
      <sheetName val="Mano de Obra"/>
      <sheetName val="ACERO "/>
      <sheetName val="Rel. Equipos"/>
      <sheetName val="Rel. Equipos (2)"/>
      <sheetName val="rend, equipos"/>
      <sheetName val="ANALISIS (201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1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5">
        <row r="39">
          <cell r="G39">
            <v>37.2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4">
        <row r="15">
          <cell r="K15">
            <v>145</v>
          </cell>
        </row>
      </sheetData>
      <sheetData sheetId="5">
        <row r="14">
          <cell r="D14">
            <v>45</v>
          </cell>
        </row>
        <row r="16">
          <cell r="D16">
            <v>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93"/>
  <sheetViews>
    <sheetView zoomScalePageLayoutView="0" workbookViewId="0" topLeftCell="A55">
      <selection activeCell="C69" sqref="C69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3" width="18.28125" style="0" customWidth="1"/>
    <col min="4" max="5" width="9.140625" style="0" customWidth="1"/>
    <col min="6" max="6" width="14.57421875" style="0" customWidth="1"/>
    <col min="7" max="7" width="16.421875" style="0" customWidth="1"/>
    <col min="8" max="8" width="9.140625" style="0" customWidth="1"/>
    <col min="9" max="9" width="0.9921875" style="0" customWidth="1"/>
  </cols>
  <sheetData>
    <row r="1" ht="12.75">
      <c r="B1" s="118" t="s">
        <v>297</v>
      </c>
    </row>
    <row r="2" ht="12.75">
      <c r="B2" s="118"/>
    </row>
    <row r="3" ht="12.75">
      <c r="B3" t="s">
        <v>298</v>
      </c>
    </row>
    <row r="4" spans="2:5" ht="12.75">
      <c r="B4" s="118" t="s">
        <v>299</v>
      </c>
      <c r="E4" s="118" t="s">
        <v>670</v>
      </c>
    </row>
    <row r="5" spans="2:3" ht="12.75">
      <c r="B5" s="118"/>
      <c r="C5" t="s">
        <v>300</v>
      </c>
    </row>
    <row r="6" spans="3:7" ht="12.75">
      <c r="C6" t="s">
        <v>11</v>
      </c>
      <c r="D6">
        <v>7</v>
      </c>
      <c r="E6" t="s">
        <v>292</v>
      </c>
      <c r="F6">
        <v>133</v>
      </c>
      <c r="G6" s="124">
        <f>SUM(F6*D6)</f>
        <v>931</v>
      </c>
    </row>
    <row r="7" spans="3:7" ht="12.75">
      <c r="C7" t="s">
        <v>6</v>
      </c>
      <c r="D7">
        <v>1.5</v>
      </c>
      <c r="E7" t="s">
        <v>98</v>
      </c>
      <c r="F7">
        <v>370</v>
      </c>
      <c r="G7" s="124">
        <f>SUM(F7*D7)</f>
        <v>555</v>
      </c>
    </row>
    <row r="8" spans="3:7" ht="12.75">
      <c r="C8" t="s">
        <v>180</v>
      </c>
      <c r="D8">
        <v>60</v>
      </c>
      <c r="E8" t="s">
        <v>301</v>
      </c>
      <c r="F8">
        <v>0.3</v>
      </c>
      <c r="G8" s="124">
        <f>SUM(F8*D8)</f>
        <v>18</v>
      </c>
    </row>
    <row r="9" spans="3:7" ht="13.5" thickBot="1">
      <c r="C9" t="s">
        <v>302</v>
      </c>
      <c r="G9" s="124">
        <v>226.8</v>
      </c>
    </row>
    <row r="10" spans="2:7" ht="13.5" thickBot="1">
      <c r="B10" t="s">
        <v>670</v>
      </c>
      <c r="E10" s="118" t="s">
        <v>303</v>
      </c>
      <c r="G10" s="146">
        <f>SUM(G6:G9)</f>
        <v>1730.8</v>
      </c>
    </row>
    <row r="11" ht="12.75">
      <c r="B11" s="118" t="s">
        <v>304</v>
      </c>
    </row>
    <row r="12" spans="2:3" ht="12.75">
      <c r="B12" s="118"/>
      <c r="C12" t="s">
        <v>305</v>
      </c>
    </row>
    <row r="13" spans="3:7" ht="12.75">
      <c r="C13" t="s">
        <v>11</v>
      </c>
      <c r="D13">
        <v>8</v>
      </c>
      <c r="E13" t="s">
        <v>292</v>
      </c>
      <c r="F13" s="124">
        <v>133</v>
      </c>
      <c r="G13" s="124">
        <f>SUM(F13*D13)</f>
        <v>1064</v>
      </c>
    </row>
    <row r="14" spans="3:7" ht="12.75">
      <c r="C14" t="s">
        <v>12</v>
      </c>
      <c r="D14">
        <v>0.44</v>
      </c>
      <c r="E14" t="s">
        <v>98</v>
      </c>
      <c r="F14" s="124">
        <v>370</v>
      </c>
      <c r="G14" s="124">
        <f>SUM(F14*D14)</f>
        <v>162.8</v>
      </c>
    </row>
    <row r="15" spans="3:7" ht="12.75">
      <c r="C15" t="s">
        <v>700</v>
      </c>
      <c r="D15">
        <v>0.88</v>
      </c>
      <c r="E15" t="s">
        <v>98</v>
      </c>
      <c r="F15" s="124">
        <v>370</v>
      </c>
      <c r="G15" s="124">
        <f>SUM(F15*D15)</f>
        <v>325.6</v>
      </c>
    </row>
    <row r="16" spans="3:7" ht="12.75">
      <c r="C16" t="s">
        <v>180</v>
      </c>
      <c r="D16">
        <v>60</v>
      </c>
      <c r="E16" t="s">
        <v>160</v>
      </c>
      <c r="F16" s="124">
        <v>0.3</v>
      </c>
      <c r="G16" s="147">
        <f>SUM(D16*F16)</f>
        <v>18</v>
      </c>
    </row>
    <row r="17" spans="3:7" ht="12.75">
      <c r="C17" t="s">
        <v>302</v>
      </c>
      <c r="G17" s="124">
        <v>226.8</v>
      </c>
    </row>
    <row r="18" spans="5:7" ht="12.75">
      <c r="E18" t="s">
        <v>306</v>
      </c>
      <c r="G18" s="145">
        <f>SUM(G13:G17)</f>
        <v>1797.2</v>
      </c>
    </row>
    <row r="19" ht="12.75">
      <c r="G19" s="145"/>
    </row>
    <row r="20" spans="2:7" ht="12.75">
      <c r="B20" t="s">
        <v>293</v>
      </c>
      <c r="D20">
        <v>1.57</v>
      </c>
      <c r="E20" t="s">
        <v>307</v>
      </c>
      <c r="F20" s="124">
        <v>1055.71</v>
      </c>
      <c r="G20" s="124">
        <f>SUM(F20*D20)</f>
        <v>1657.46</v>
      </c>
    </row>
    <row r="21" spans="2:7" ht="12.75">
      <c r="B21" t="s">
        <v>308</v>
      </c>
      <c r="D21">
        <v>1.57</v>
      </c>
      <c r="E21" t="s">
        <v>307</v>
      </c>
      <c r="F21" s="124">
        <f>84*1.3</f>
        <v>109.2</v>
      </c>
      <c r="G21" s="124">
        <f>SUM(F21*D21)</f>
        <v>171.44</v>
      </c>
    </row>
    <row r="22" spans="2:7" ht="12.75">
      <c r="B22" t="s">
        <v>674</v>
      </c>
      <c r="D22">
        <v>2</v>
      </c>
      <c r="E22" t="s">
        <v>661</v>
      </c>
      <c r="F22" s="124">
        <v>30</v>
      </c>
      <c r="G22" s="124">
        <f>SUM(F22*D22)</f>
        <v>60</v>
      </c>
    </row>
    <row r="23" spans="2:7" ht="12.75">
      <c r="B23" t="s">
        <v>13</v>
      </c>
      <c r="D23">
        <v>1</v>
      </c>
      <c r="E23" t="s">
        <v>165</v>
      </c>
      <c r="F23" s="124">
        <v>300</v>
      </c>
      <c r="G23" s="124">
        <f>SUM(F23*D23)</f>
        <v>300</v>
      </c>
    </row>
    <row r="24" spans="2:7" ht="12.75">
      <c r="B24" t="s">
        <v>182</v>
      </c>
      <c r="D24">
        <v>1.5</v>
      </c>
      <c r="E24" t="s">
        <v>661</v>
      </c>
      <c r="F24" s="124">
        <v>30</v>
      </c>
      <c r="G24" s="124">
        <f>SUM(F24*D24)</f>
        <v>45</v>
      </c>
    </row>
    <row r="25" spans="5:7" ht="13.5" thickBot="1">
      <c r="E25" t="s">
        <v>309</v>
      </c>
      <c r="G25" s="148">
        <f>SUM(G20:G24)</f>
        <v>2233.9</v>
      </c>
    </row>
    <row r="26" spans="5:7" ht="13.5" thickBot="1">
      <c r="E26" s="118" t="s">
        <v>310</v>
      </c>
      <c r="G26" s="149">
        <f>SUM(G25+G18)</f>
        <v>4031.1</v>
      </c>
    </row>
    <row r="27" ht="12.75">
      <c r="B27" s="118" t="s">
        <v>311</v>
      </c>
    </row>
    <row r="28" spans="2:5" ht="12.75">
      <c r="B28" t="s">
        <v>312</v>
      </c>
      <c r="D28">
        <v>11.64</v>
      </c>
      <c r="E28" t="s">
        <v>167</v>
      </c>
    </row>
    <row r="29" spans="2:7" ht="12.75">
      <c r="B29" t="s">
        <v>313</v>
      </c>
      <c r="D29">
        <v>13</v>
      </c>
      <c r="E29" t="s">
        <v>314</v>
      </c>
      <c r="F29" s="124">
        <v>13</v>
      </c>
      <c r="G29" s="124">
        <f aca="true" t="shared" si="0" ref="G29:G35">SUM(F29*D29)</f>
        <v>169</v>
      </c>
    </row>
    <row r="30" spans="2:7" ht="12.75">
      <c r="B30" t="s">
        <v>315</v>
      </c>
      <c r="D30">
        <v>13</v>
      </c>
      <c r="E30" t="s">
        <v>314</v>
      </c>
      <c r="F30" s="124">
        <v>7.49</v>
      </c>
      <c r="G30" s="124">
        <f t="shared" si="0"/>
        <v>97.37</v>
      </c>
    </row>
    <row r="31" spans="2:7" ht="12.75">
      <c r="B31" t="s">
        <v>316</v>
      </c>
      <c r="D31">
        <v>0.018</v>
      </c>
      <c r="E31" t="s">
        <v>317</v>
      </c>
      <c r="F31" s="124">
        <f>G60</f>
        <v>1918.83</v>
      </c>
      <c r="G31" s="124">
        <f t="shared" si="0"/>
        <v>34.54</v>
      </c>
    </row>
    <row r="32" spans="2:7" ht="12.75">
      <c r="B32" t="s">
        <v>318</v>
      </c>
      <c r="D32">
        <v>0.02</v>
      </c>
      <c r="E32" t="s">
        <v>98</v>
      </c>
      <c r="F32" s="124">
        <f>G10</f>
        <v>1730.8</v>
      </c>
      <c r="G32">
        <f t="shared" si="0"/>
        <v>34.616</v>
      </c>
    </row>
    <row r="33" spans="2:7" ht="12.75">
      <c r="B33" t="s">
        <v>319</v>
      </c>
      <c r="D33">
        <v>0.02</v>
      </c>
      <c r="E33" t="s">
        <v>307</v>
      </c>
      <c r="F33" s="124">
        <v>1055.71</v>
      </c>
      <c r="G33" s="124">
        <f t="shared" si="0"/>
        <v>21.11</v>
      </c>
    </row>
    <row r="34" spans="2:7" ht="12.75">
      <c r="B34" t="s">
        <v>320</v>
      </c>
      <c r="D34">
        <v>13</v>
      </c>
      <c r="E34" t="s">
        <v>321</v>
      </c>
      <c r="F34" s="124">
        <v>2.56</v>
      </c>
      <c r="G34" s="124">
        <f t="shared" si="0"/>
        <v>33.28</v>
      </c>
    </row>
    <row r="35" spans="2:7" ht="12.75">
      <c r="B35" t="s">
        <v>322</v>
      </c>
      <c r="D35">
        <v>0.02</v>
      </c>
      <c r="E35" t="s">
        <v>307</v>
      </c>
      <c r="F35" s="147">
        <f>84*1.3</f>
        <v>109.2</v>
      </c>
      <c r="G35" s="124">
        <f t="shared" si="0"/>
        <v>2.18</v>
      </c>
    </row>
    <row r="36" spans="5:7" ht="13.5" thickBot="1">
      <c r="E36" s="118"/>
      <c r="F36" s="124"/>
      <c r="G36" s="124"/>
    </row>
    <row r="37" spans="5:7" ht="13.5" thickBot="1">
      <c r="E37" s="118" t="s">
        <v>323</v>
      </c>
      <c r="F37" s="124"/>
      <c r="G37" s="146">
        <f>SUM(G29:G36)</f>
        <v>392.1</v>
      </c>
    </row>
    <row r="38" spans="5:7" ht="12.75">
      <c r="E38" s="118"/>
      <c r="F38" s="124"/>
      <c r="G38" s="150"/>
    </row>
    <row r="39" spans="2:7" ht="12.75">
      <c r="B39" s="118" t="s">
        <v>324</v>
      </c>
      <c r="G39" s="124"/>
    </row>
    <row r="40" spans="2:7" ht="12.75">
      <c r="B40" s="118"/>
      <c r="C40" t="s">
        <v>325</v>
      </c>
      <c r="G40" s="124"/>
    </row>
    <row r="41" spans="3:7" ht="12.75">
      <c r="C41" t="s">
        <v>326</v>
      </c>
      <c r="D41">
        <v>0.91</v>
      </c>
      <c r="E41" t="s">
        <v>98</v>
      </c>
      <c r="F41" s="124">
        <v>370</v>
      </c>
      <c r="G41" s="124">
        <f>SUM(F41*D41)</f>
        <v>336.7</v>
      </c>
    </row>
    <row r="42" spans="3:7" ht="12.75">
      <c r="C42" t="s">
        <v>327</v>
      </c>
      <c r="D42">
        <v>9.46</v>
      </c>
      <c r="E42" t="s">
        <v>98</v>
      </c>
      <c r="F42" s="124">
        <v>133</v>
      </c>
      <c r="G42" s="124">
        <f>SUM(F42*D42)</f>
        <v>1258.18</v>
      </c>
    </row>
    <row r="43" spans="3:7" ht="12.75">
      <c r="C43" t="s">
        <v>328</v>
      </c>
      <c r="D43">
        <v>6.29</v>
      </c>
      <c r="E43" t="s">
        <v>329</v>
      </c>
      <c r="F43" s="124">
        <v>108</v>
      </c>
      <c r="G43" s="124">
        <f>SUM(F43*D43)</f>
        <v>679.32</v>
      </c>
    </row>
    <row r="44" spans="3:7" ht="12.75">
      <c r="C44" t="s">
        <v>180</v>
      </c>
      <c r="D44">
        <v>60</v>
      </c>
      <c r="E44" t="s">
        <v>301</v>
      </c>
      <c r="F44" s="124">
        <v>0.3</v>
      </c>
      <c r="G44" s="124">
        <f>SUM(F44*D44)</f>
        <v>18</v>
      </c>
    </row>
    <row r="45" spans="5:7" ht="12.75">
      <c r="E45" t="s">
        <v>330</v>
      </c>
      <c r="G45" s="124">
        <f>SUM(G41:G44)*1.05</f>
        <v>2406.81</v>
      </c>
    </row>
    <row r="46" spans="2:7" ht="12.75">
      <c r="B46" t="s">
        <v>331</v>
      </c>
      <c r="G46" s="124"/>
    </row>
    <row r="47" spans="2:7" ht="12.75">
      <c r="B47" t="s">
        <v>332</v>
      </c>
      <c r="D47">
        <v>0.02</v>
      </c>
      <c r="E47" t="s">
        <v>98</v>
      </c>
      <c r="F47" s="124">
        <f>G45</f>
        <v>2406.81</v>
      </c>
      <c r="G47" s="124">
        <f>SUM(F47*D47)</f>
        <v>48.14</v>
      </c>
    </row>
    <row r="48" spans="2:7" ht="12.75">
      <c r="B48" t="s">
        <v>333</v>
      </c>
      <c r="D48">
        <v>1</v>
      </c>
      <c r="E48" t="s">
        <v>167</v>
      </c>
      <c r="F48" s="124">
        <v>61.64</v>
      </c>
      <c r="G48" s="124">
        <f>SUM(F48*D48)</f>
        <v>61.64</v>
      </c>
    </row>
    <row r="49" spans="2:7" ht="12.75">
      <c r="B49" t="s">
        <v>334</v>
      </c>
      <c r="D49">
        <v>0.033</v>
      </c>
      <c r="E49" t="s">
        <v>174</v>
      </c>
      <c r="F49" s="124">
        <v>27.6</v>
      </c>
      <c r="G49" s="124">
        <f>SUM(F49*D49)</f>
        <v>0.91</v>
      </c>
    </row>
    <row r="50" spans="2:7" ht="12.75">
      <c r="B50" t="s">
        <v>670</v>
      </c>
      <c r="E50" t="s">
        <v>335</v>
      </c>
      <c r="G50" s="124">
        <f>SUM(G47:G49)*1.05</f>
        <v>116.22</v>
      </c>
    </row>
    <row r="51" ht="12.75">
      <c r="G51" s="124"/>
    </row>
    <row r="52" ht="12.75">
      <c r="G52" s="124"/>
    </row>
    <row r="53" ht="12.75">
      <c r="G53" s="124"/>
    </row>
    <row r="54" ht="12.75">
      <c r="G54" s="124"/>
    </row>
    <row r="55" ht="12.75">
      <c r="B55" s="118" t="s">
        <v>336</v>
      </c>
    </row>
    <row r="56" ht="12.75">
      <c r="B56" t="s">
        <v>337</v>
      </c>
    </row>
    <row r="57" spans="2:7" ht="12.75">
      <c r="B57" t="s">
        <v>11</v>
      </c>
      <c r="D57">
        <v>11.51</v>
      </c>
      <c r="E57" t="s">
        <v>292</v>
      </c>
      <c r="F57" s="124">
        <v>133</v>
      </c>
      <c r="G57" s="124">
        <f>SUM(D57*F57)</f>
        <v>1530.83</v>
      </c>
    </row>
    <row r="58" spans="2:7" ht="12.75">
      <c r="B58" t="s">
        <v>699</v>
      </c>
      <c r="D58">
        <v>1</v>
      </c>
      <c r="E58" t="s">
        <v>98</v>
      </c>
      <c r="F58" s="124">
        <v>370</v>
      </c>
      <c r="G58" s="124">
        <f>SUM(D58*F58)</f>
        <v>370</v>
      </c>
    </row>
    <row r="59" spans="2:7" ht="12.75">
      <c r="B59" t="s">
        <v>180</v>
      </c>
      <c r="D59">
        <v>60</v>
      </c>
      <c r="E59" t="s">
        <v>160</v>
      </c>
      <c r="F59" s="124">
        <v>0.3</v>
      </c>
      <c r="G59" s="124">
        <f>SUM(D59*F59)</f>
        <v>18</v>
      </c>
    </row>
    <row r="60" spans="5:7" ht="12.75">
      <c r="E60" t="s">
        <v>338</v>
      </c>
      <c r="G60" s="151">
        <f>SUM(G57:G59)</f>
        <v>1918.83</v>
      </c>
    </row>
    <row r="61" ht="12.75">
      <c r="G61" s="151"/>
    </row>
    <row r="62" ht="12.75">
      <c r="G62" s="151"/>
    </row>
    <row r="63" ht="12.75">
      <c r="G63" s="151"/>
    </row>
    <row r="64" ht="12.75">
      <c r="G64" s="151"/>
    </row>
    <row r="65" spans="2:7" ht="12.75">
      <c r="B65" s="118" t="s">
        <v>339</v>
      </c>
      <c r="G65" s="151"/>
    </row>
    <row r="66" spans="2:7" ht="12.75">
      <c r="B66" t="s">
        <v>225</v>
      </c>
      <c r="D66">
        <f>4*1.8*1.5</f>
        <v>10.8</v>
      </c>
      <c r="E66" t="s">
        <v>691</v>
      </c>
      <c r="F66" s="124">
        <f>236.96*1.4</f>
        <v>331.74</v>
      </c>
      <c r="G66" s="145">
        <f>SUM(F66*D66)</f>
        <v>3582.79</v>
      </c>
    </row>
    <row r="67" spans="2:7" ht="12.75">
      <c r="B67" t="s">
        <v>340</v>
      </c>
      <c r="D67" s="124">
        <f>0.2*10.8</f>
        <v>2.16</v>
      </c>
      <c r="E67" t="s">
        <v>164</v>
      </c>
      <c r="F67" s="124" t="e">
        <f>#REF!</f>
        <v>#REF!</v>
      </c>
      <c r="G67" s="145" t="e">
        <f>D67*F67</f>
        <v>#REF!</v>
      </c>
    </row>
    <row r="68" spans="2:7" ht="12.75">
      <c r="B68" t="s">
        <v>341</v>
      </c>
      <c r="D68" s="124">
        <f>(0.8*10.8)*1.15</f>
        <v>9.94</v>
      </c>
      <c r="E68" t="s">
        <v>169</v>
      </c>
      <c r="F68" s="124" t="e">
        <f>#REF!</f>
        <v>#REF!</v>
      </c>
      <c r="G68" s="145" t="e">
        <f aca="true" t="shared" si="1" ref="G68:G74">SUM(F68*D68)</f>
        <v>#REF!</v>
      </c>
    </row>
    <row r="69" spans="2:7" ht="12.75">
      <c r="B69" s="122" t="s">
        <v>795</v>
      </c>
      <c r="D69" s="124">
        <f>0.12*3.7*1.44</f>
        <v>0.64</v>
      </c>
      <c r="E69" t="s">
        <v>98</v>
      </c>
      <c r="F69" s="124">
        <f>Materiales!D106</f>
        <v>5238.01</v>
      </c>
      <c r="G69" s="145">
        <f t="shared" si="1"/>
        <v>3352.33</v>
      </c>
    </row>
    <row r="70" spans="2:7" ht="12.75">
      <c r="B70" t="s">
        <v>343</v>
      </c>
      <c r="D70" s="124">
        <f>3.7*1.6*0.12</f>
        <v>0.71</v>
      </c>
      <c r="E70" t="s">
        <v>98</v>
      </c>
      <c r="F70" s="148">
        <f>G26</f>
        <v>4031.1</v>
      </c>
      <c r="G70" s="145">
        <f t="shared" si="1"/>
        <v>2862.08</v>
      </c>
    </row>
    <row r="71" spans="2:7" ht="12.75">
      <c r="B71" t="s">
        <v>344</v>
      </c>
      <c r="D71">
        <v>13.08</v>
      </c>
      <c r="E71" t="s">
        <v>167</v>
      </c>
      <c r="F71" s="124">
        <f>G37</f>
        <v>392.1</v>
      </c>
      <c r="G71" s="145">
        <f t="shared" si="1"/>
        <v>5128.67</v>
      </c>
    </row>
    <row r="72" spans="2:7" ht="12.75">
      <c r="B72" t="s">
        <v>345</v>
      </c>
      <c r="D72">
        <v>14.25</v>
      </c>
      <c r="E72" t="s">
        <v>673</v>
      </c>
      <c r="F72" s="124">
        <f>G50</f>
        <v>116.22</v>
      </c>
      <c r="G72" s="145">
        <f t="shared" si="1"/>
        <v>1656.14</v>
      </c>
    </row>
    <row r="73" spans="2:7" ht="12.75">
      <c r="B73" t="s">
        <v>346</v>
      </c>
      <c r="D73">
        <v>3</v>
      </c>
      <c r="E73" t="s">
        <v>321</v>
      </c>
      <c r="F73" s="124">
        <v>1740</v>
      </c>
      <c r="G73" s="145">
        <f t="shared" si="1"/>
        <v>5220</v>
      </c>
    </row>
    <row r="74" spans="2:7" ht="12.75">
      <c r="B74" t="s">
        <v>347</v>
      </c>
      <c r="D74">
        <v>1</v>
      </c>
      <c r="E74" t="s">
        <v>321</v>
      </c>
      <c r="F74" s="124">
        <v>4640</v>
      </c>
      <c r="G74" s="145">
        <f t="shared" si="1"/>
        <v>4640</v>
      </c>
    </row>
    <row r="75" spans="2:7" ht="12.75">
      <c r="B75" t="s">
        <v>348</v>
      </c>
      <c r="G75" s="145">
        <f>500*1.3</f>
        <v>650</v>
      </c>
    </row>
    <row r="76" spans="2:7" ht="12.75">
      <c r="B76" t="s">
        <v>349</v>
      </c>
      <c r="G76" s="145">
        <f>300*1.3</f>
        <v>390</v>
      </c>
    </row>
    <row r="77" spans="2:7" ht="12.75">
      <c r="B77" t="s">
        <v>350</v>
      </c>
      <c r="G77" s="145">
        <f>1050*1.3</f>
        <v>1365</v>
      </c>
    </row>
    <row r="78" ht="13.5" thickBot="1"/>
    <row r="79" spans="5:7" ht="13.5" thickBot="1">
      <c r="E79" s="118" t="s">
        <v>351</v>
      </c>
      <c r="G79" s="149" t="e">
        <f>SUM(G66:G77)</f>
        <v>#REF!</v>
      </c>
    </row>
    <row r="81" ht="12.75">
      <c r="B81" s="118" t="s">
        <v>352</v>
      </c>
    </row>
    <row r="82" ht="12.75">
      <c r="B82" s="118"/>
    </row>
    <row r="83" ht="12.75">
      <c r="B83" t="s">
        <v>353</v>
      </c>
    </row>
    <row r="84" spans="2:5" ht="12.75">
      <c r="B84" s="118" t="s">
        <v>299</v>
      </c>
      <c r="E84" s="118" t="s">
        <v>670</v>
      </c>
    </row>
    <row r="85" ht="12.75">
      <c r="B85" s="118"/>
    </row>
    <row r="86" spans="2:3" ht="12.75">
      <c r="B86" s="118"/>
      <c r="C86" t="s">
        <v>354</v>
      </c>
    </row>
    <row r="87" spans="3:7" ht="12.75">
      <c r="C87" t="s">
        <v>11</v>
      </c>
      <c r="D87">
        <v>7</v>
      </c>
      <c r="E87" t="s">
        <v>292</v>
      </c>
      <c r="F87">
        <v>195</v>
      </c>
      <c r="G87" s="124">
        <f>SUM(F87*D87)</f>
        <v>1365</v>
      </c>
    </row>
    <row r="88" spans="3:7" ht="12.75">
      <c r="C88" t="s">
        <v>6</v>
      </c>
      <c r="D88">
        <v>1.5</v>
      </c>
      <c r="E88" t="s">
        <v>98</v>
      </c>
      <c r="F88">
        <v>625</v>
      </c>
      <c r="G88" s="124">
        <f>SUM(F88*D88)</f>
        <v>937.5</v>
      </c>
    </row>
    <row r="89" spans="3:7" ht="12.75">
      <c r="C89" t="s">
        <v>180</v>
      </c>
      <c r="D89">
        <v>60</v>
      </c>
      <c r="E89" t="s">
        <v>301</v>
      </c>
      <c r="F89">
        <v>0.5</v>
      </c>
      <c r="G89" s="124">
        <f>SUM(F89*D89)</f>
        <v>30</v>
      </c>
    </row>
    <row r="90" spans="3:7" ht="13.5" thickBot="1">
      <c r="C90" t="s">
        <v>355</v>
      </c>
      <c r="D90">
        <v>1</v>
      </c>
      <c r="E90" t="s">
        <v>98</v>
      </c>
      <c r="F90">
        <v>226.8</v>
      </c>
      <c r="G90" s="124">
        <f>SUM(D90*F90)</f>
        <v>226.8</v>
      </c>
    </row>
    <row r="91" spans="2:7" ht="13.5" thickBot="1">
      <c r="B91" t="s">
        <v>670</v>
      </c>
      <c r="E91" s="118" t="s">
        <v>303</v>
      </c>
      <c r="G91" s="146">
        <f>SUM(G87:G89)</f>
        <v>2332.5</v>
      </c>
    </row>
    <row r="92" ht="12.75">
      <c r="B92" s="118" t="s">
        <v>304</v>
      </c>
    </row>
    <row r="93" spans="2:3" ht="12.75">
      <c r="B93" s="118"/>
      <c r="C93" t="s">
        <v>670</v>
      </c>
    </row>
    <row r="94" spans="2:3" ht="12.75">
      <c r="B94" s="118"/>
      <c r="C94" t="s">
        <v>356</v>
      </c>
    </row>
    <row r="95" spans="3:7" ht="12.75">
      <c r="C95" t="s">
        <v>11</v>
      </c>
      <c r="D95">
        <v>8</v>
      </c>
      <c r="E95" t="s">
        <v>292</v>
      </c>
      <c r="F95" s="124">
        <v>195</v>
      </c>
      <c r="G95" s="124">
        <f>SUM(F95*D95)</f>
        <v>1560</v>
      </c>
    </row>
    <row r="96" spans="3:7" ht="12.75">
      <c r="C96" t="s">
        <v>12</v>
      </c>
      <c r="D96">
        <v>0.44</v>
      </c>
      <c r="E96" t="s">
        <v>98</v>
      </c>
      <c r="F96" s="124">
        <v>625</v>
      </c>
      <c r="G96" s="124">
        <f>SUM(F96*D96)</f>
        <v>275</v>
      </c>
    </row>
    <row r="97" spans="3:7" ht="12.75">
      <c r="C97" t="s">
        <v>700</v>
      </c>
      <c r="D97">
        <v>0.88</v>
      </c>
      <c r="E97" t="s">
        <v>98</v>
      </c>
      <c r="F97" s="124">
        <v>625</v>
      </c>
      <c r="G97" s="124">
        <f>SUM(F97*D97)</f>
        <v>550</v>
      </c>
    </row>
    <row r="98" spans="3:7" ht="12.75">
      <c r="C98" t="s">
        <v>180</v>
      </c>
      <c r="D98">
        <v>60</v>
      </c>
      <c r="E98" t="s">
        <v>160</v>
      </c>
      <c r="F98" s="124">
        <v>0.5</v>
      </c>
      <c r="G98" s="147">
        <f>SUM(D98*F98)</f>
        <v>30</v>
      </c>
    </row>
    <row r="99" spans="3:7" ht="12.75">
      <c r="C99" t="s">
        <v>355</v>
      </c>
      <c r="D99">
        <v>1</v>
      </c>
      <c r="E99" t="s">
        <v>98</v>
      </c>
      <c r="F99">
        <v>226.8</v>
      </c>
      <c r="G99" s="147">
        <f>SUM(F99*D99)</f>
        <v>226.8</v>
      </c>
    </row>
    <row r="100" spans="5:7" ht="12.75">
      <c r="E100" t="s">
        <v>306</v>
      </c>
      <c r="G100" s="145">
        <f>SUM(G95:G99)</f>
        <v>2641.8</v>
      </c>
    </row>
    <row r="102" spans="2:7" ht="12.75">
      <c r="B102" t="s">
        <v>293</v>
      </c>
      <c r="D102">
        <v>1.57</v>
      </c>
      <c r="E102" t="s">
        <v>307</v>
      </c>
      <c r="F102" s="124">
        <v>1700</v>
      </c>
      <c r="G102" s="124">
        <f>SUM(F102*D102)</f>
        <v>2669</v>
      </c>
    </row>
    <row r="103" spans="2:7" ht="12.75">
      <c r="B103" t="s">
        <v>308</v>
      </c>
      <c r="D103">
        <v>1.57</v>
      </c>
      <c r="E103" t="s">
        <v>307</v>
      </c>
      <c r="F103" s="124">
        <v>153</v>
      </c>
      <c r="G103" s="124">
        <f>SUM(F103*D103)</f>
        <v>240.21</v>
      </c>
    </row>
    <row r="104" spans="2:7" ht="12.75">
      <c r="B104" t="s">
        <v>674</v>
      </c>
      <c r="D104">
        <v>2</v>
      </c>
      <c r="E104" t="s">
        <v>661</v>
      </c>
      <c r="F104" s="124">
        <v>30</v>
      </c>
      <c r="G104" s="124">
        <f>SUM(F104*D104)</f>
        <v>60</v>
      </c>
    </row>
    <row r="105" spans="2:7" ht="12.75">
      <c r="B105" t="s">
        <v>13</v>
      </c>
      <c r="D105">
        <v>1</v>
      </c>
      <c r="E105" t="s">
        <v>165</v>
      </c>
      <c r="F105" s="124">
        <v>2500</v>
      </c>
      <c r="G105" s="124">
        <f>SUM(F105*D105)</f>
        <v>2500</v>
      </c>
    </row>
    <row r="106" spans="2:7" ht="12.75">
      <c r="B106" t="s">
        <v>182</v>
      </c>
      <c r="D106">
        <v>1.5</v>
      </c>
      <c r="E106" t="s">
        <v>661</v>
      </c>
      <c r="F106" s="124">
        <v>25</v>
      </c>
      <c r="G106" s="124">
        <f>SUM(F106*D106)</f>
        <v>37.5</v>
      </c>
    </row>
    <row r="107" spans="5:7" ht="13.5" thickBot="1">
      <c r="E107" t="s">
        <v>309</v>
      </c>
      <c r="G107" s="148">
        <f>SUM(G102:G106)</f>
        <v>5506.71</v>
      </c>
    </row>
    <row r="108" spans="5:7" ht="13.5" thickBot="1">
      <c r="E108" s="118" t="s">
        <v>310</v>
      </c>
      <c r="G108" s="149">
        <f>SUM(G107+G100)</f>
        <v>8148.51</v>
      </c>
    </row>
    <row r="109" spans="5:7" ht="12.75">
      <c r="E109" s="118"/>
      <c r="G109" s="59"/>
    </row>
    <row r="110" ht="12.75">
      <c r="B110" s="118" t="s">
        <v>311</v>
      </c>
    </row>
    <row r="111" spans="2:5" ht="12.75">
      <c r="B111" t="s">
        <v>312</v>
      </c>
      <c r="D111">
        <v>11.64</v>
      </c>
      <c r="E111" t="s">
        <v>167</v>
      </c>
    </row>
    <row r="112" spans="2:7" ht="12.75">
      <c r="B112" t="s">
        <v>313</v>
      </c>
      <c r="D112">
        <v>13</v>
      </c>
      <c r="E112" t="s">
        <v>314</v>
      </c>
      <c r="F112" s="124">
        <v>18</v>
      </c>
      <c r="G112" s="124">
        <f aca="true" t="shared" si="2" ref="G112:G118">SUM(F112*D112)</f>
        <v>234</v>
      </c>
    </row>
    <row r="113" spans="2:7" ht="12.75">
      <c r="B113" t="s">
        <v>315</v>
      </c>
      <c r="D113">
        <v>13</v>
      </c>
      <c r="E113" t="s">
        <v>314</v>
      </c>
      <c r="F113" s="124">
        <v>9.2</v>
      </c>
      <c r="G113" s="124">
        <f t="shared" si="2"/>
        <v>119.6</v>
      </c>
    </row>
    <row r="114" spans="2:7" ht="12.75">
      <c r="B114" t="s">
        <v>316</v>
      </c>
      <c r="D114">
        <v>0.018</v>
      </c>
      <c r="E114" t="s">
        <v>317</v>
      </c>
      <c r="F114" s="124">
        <f>G144</f>
        <v>2899.45</v>
      </c>
      <c r="G114" s="124">
        <f t="shared" si="2"/>
        <v>52.19</v>
      </c>
    </row>
    <row r="115" spans="2:7" ht="12.75">
      <c r="B115" t="s">
        <v>318</v>
      </c>
      <c r="D115">
        <v>0.02</v>
      </c>
      <c r="E115" t="s">
        <v>98</v>
      </c>
      <c r="F115" s="124">
        <f>G91</f>
        <v>2332.5</v>
      </c>
      <c r="G115">
        <f t="shared" si="2"/>
        <v>46.65</v>
      </c>
    </row>
    <row r="116" spans="2:7" ht="12.75">
      <c r="B116" t="s">
        <v>319</v>
      </c>
      <c r="D116">
        <v>0.02</v>
      </c>
      <c r="E116" t="s">
        <v>307</v>
      </c>
      <c r="F116" s="124">
        <v>1700</v>
      </c>
      <c r="G116" s="124">
        <f t="shared" si="2"/>
        <v>34</v>
      </c>
    </row>
    <row r="117" spans="2:7" ht="12.75">
      <c r="B117" t="s">
        <v>320</v>
      </c>
      <c r="D117">
        <v>13</v>
      </c>
      <c r="E117" t="s">
        <v>321</v>
      </c>
      <c r="F117" s="124">
        <v>3.07</v>
      </c>
      <c r="G117" s="124">
        <f t="shared" si="2"/>
        <v>39.91</v>
      </c>
    </row>
    <row r="118" spans="2:7" ht="12.75">
      <c r="B118" t="s">
        <v>322</v>
      </c>
      <c r="D118">
        <v>0.02</v>
      </c>
      <c r="E118" t="s">
        <v>307</v>
      </c>
      <c r="F118" s="124">
        <v>153</v>
      </c>
      <c r="G118" s="124">
        <f t="shared" si="2"/>
        <v>3.06</v>
      </c>
    </row>
    <row r="119" spans="5:7" ht="13.5" thickBot="1">
      <c r="E119" s="118"/>
      <c r="F119" s="124"/>
      <c r="G119" s="124"/>
    </row>
    <row r="120" spans="5:7" ht="13.5" thickBot="1">
      <c r="E120" s="118" t="s">
        <v>323</v>
      </c>
      <c r="F120" s="124"/>
      <c r="G120" s="146">
        <f>SUM(G112:G119)</f>
        <v>529.41</v>
      </c>
    </row>
    <row r="121" spans="5:7" ht="12.75">
      <c r="E121" s="118"/>
      <c r="F121" s="124"/>
      <c r="G121" s="150"/>
    </row>
    <row r="122" spans="2:7" ht="12.75">
      <c r="B122" s="118" t="s">
        <v>324</v>
      </c>
      <c r="G122" s="124"/>
    </row>
    <row r="123" spans="2:7" ht="12.75">
      <c r="B123" s="118"/>
      <c r="C123" t="s">
        <v>325</v>
      </c>
      <c r="G123" s="124"/>
    </row>
    <row r="124" spans="3:7" ht="12.75">
      <c r="C124" t="s">
        <v>326</v>
      </c>
      <c r="D124">
        <v>0.91</v>
      </c>
      <c r="E124" t="s">
        <v>98</v>
      </c>
      <c r="F124" s="124">
        <v>625</v>
      </c>
      <c r="G124" s="124">
        <f>SUM(F124*D124)</f>
        <v>568.75</v>
      </c>
    </row>
    <row r="125" spans="3:7" ht="12.75">
      <c r="C125" t="s">
        <v>327</v>
      </c>
      <c r="D125">
        <v>9.46</v>
      </c>
      <c r="E125" t="s">
        <v>98</v>
      </c>
      <c r="F125">
        <v>195</v>
      </c>
      <c r="G125" s="124">
        <f>SUM(F125*D125)</f>
        <v>1844.7</v>
      </c>
    </row>
    <row r="126" spans="3:7" ht="12.75">
      <c r="C126" t="s">
        <v>357</v>
      </c>
      <c r="D126">
        <v>6.29</v>
      </c>
      <c r="E126" t="s">
        <v>329</v>
      </c>
      <c r="F126">
        <v>170</v>
      </c>
      <c r="G126" s="124">
        <f>SUM(F126*D126)</f>
        <v>1069.3</v>
      </c>
    </row>
    <row r="127" spans="3:7" ht="12.75">
      <c r="C127" t="s">
        <v>180</v>
      </c>
      <c r="D127">
        <v>60</v>
      </c>
      <c r="E127" t="s">
        <v>301</v>
      </c>
      <c r="F127">
        <v>0.5</v>
      </c>
      <c r="G127" s="124">
        <f>SUM(F127*D127)</f>
        <v>30</v>
      </c>
    </row>
    <row r="128" spans="5:7" ht="12.75">
      <c r="E128" t="s">
        <v>330</v>
      </c>
      <c r="G128" s="124">
        <f>SUM(G124:G127)</f>
        <v>3512.75</v>
      </c>
    </row>
    <row r="130" spans="2:7" ht="12.75">
      <c r="B130" t="s">
        <v>331</v>
      </c>
      <c r="G130" s="124"/>
    </row>
    <row r="131" spans="2:7" ht="12.75">
      <c r="B131" t="s">
        <v>332</v>
      </c>
      <c r="D131">
        <v>0.02</v>
      </c>
      <c r="E131" t="s">
        <v>98</v>
      </c>
      <c r="F131" s="124">
        <f>G128</f>
        <v>3512.75</v>
      </c>
      <c r="G131" s="124">
        <f>SUM(F131*D131)</f>
        <v>70.26</v>
      </c>
    </row>
    <row r="132" spans="2:7" ht="12.75">
      <c r="B132" t="s">
        <v>333</v>
      </c>
      <c r="D132">
        <v>1</v>
      </c>
      <c r="E132" t="s">
        <v>167</v>
      </c>
      <c r="F132" s="124">
        <v>73.94</v>
      </c>
      <c r="G132" s="124">
        <f>SUM(F132*D132)</f>
        <v>73.94</v>
      </c>
    </row>
    <row r="133" spans="2:7" ht="12.75">
      <c r="B133" t="s">
        <v>334</v>
      </c>
      <c r="D133">
        <v>0.033</v>
      </c>
      <c r="E133" t="s">
        <v>174</v>
      </c>
      <c r="F133" s="124">
        <v>40</v>
      </c>
      <c r="G133" s="124">
        <f>SUM(F133*D133)</f>
        <v>1.32</v>
      </c>
    </row>
    <row r="134" spans="2:7" ht="12.75">
      <c r="B134" t="s">
        <v>670</v>
      </c>
      <c r="E134" t="s">
        <v>335</v>
      </c>
      <c r="G134" s="124">
        <f>SUM(G131:G133)*1.05</f>
        <v>152.8</v>
      </c>
    </row>
    <row r="135" ht="12.75">
      <c r="G135" s="124"/>
    </row>
    <row r="136" ht="12.75">
      <c r="G136" s="124"/>
    </row>
    <row r="137" ht="12.75">
      <c r="G137" s="124"/>
    </row>
    <row r="138" ht="12.75">
      <c r="G138" s="124"/>
    </row>
    <row r="139" ht="12.75">
      <c r="B139" s="118" t="s">
        <v>336</v>
      </c>
    </row>
    <row r="140" ht="12.75">
      <c r="B140" t="s">
        <v>337</v>
      </c>
    </row>
    <row r="141" spans="2:7" ht="12.75">
      <c r="B141" t="s">
        <v>11</v>
      </c>
      <c r="D141">
        <v>11.51</v>
      </c>
      <c r="E141" t="s">
        <v>292</v>
      </c>
      <c r="F141" s="124">
        <v>195</v>
      </c>
      <c r="G141" s="124">
        <f>SUM(D141*F141)</f>
        <v>2244.45</v>
      </c>
    </row>
    <row r="142" spans="2:7" ht="12.75">
      <c r="B142" t="s">
        <v>699</v>
      </c>
      <c r="D142">
        <v>1</v>
      </c>
      <c r="E142" t="s">
        <v>98</v>
      </c>
      <c r="F142" s="124">
        <v>625</v>
      </c>
      <c r="G142" s="124">
        <f>SUM(D142*F142)</f>
        <v>625</v>
      </c>
    </row>
    <row r="143" spans="2:7" ht="12.75">
      <c r="B143" t="s">
        <v>180</v>
      </c>
      <c r="D143">
        <v>60</v>
      </c>
      <c r="E143" t="s">
        <v>160</v>
      </c>
      <c r="F143" s="124">
        <v>0.5</v>
      </c>
      <c r="G143" s="124">
        <f>SUM(D143*F143)</f>
        <v>30</v>
      </c>
    </row>
    <row r="144" spans="5:7" ht="12.75">
      <c r="E144" t="s">
        <v>338</v>
      </c>
      <c r="G144" s="151">
        <f>SUM(G141:G143)</f>
        <v>2899.45</v>
      </c>
    </row>
    <row r="145" ht="12.75">
      <c r="G145" s="151"/>
    </row>
    <row r="146" spans="2:7" ht="12.75">
      <c r="B146" s="118" t="s">
        <v>358</v>
      </c>
      <c r="G146" s="151"/>
    </row>
    <row r="147" spans="2:7" ht="12.75">
      <c r="B147" t="s">
        <v>225</v>
      </c>
      <c r="D147">
        <v>8.64</v>
      </c>
      <c r="E147" t="s">
        <v>691</v>
      </c>
      <c r="F147" s="124">
        <v>150</v>
      </c>
      <c r="G147" s="145">
        <f>SUM(F147*D147)</f>
        <v>1296</v>
      </c>
    </row>
    <row r="148" spans="2:7" ht="12.75">
      <c r="B148" t="s">
        <v>340</v>
      </c>
      <c r="D148" s="124">
        <f>0.2*8.64</f>
        <v>1.73</v>
      </c>
      <c r="E148" t="s">
        <v>164</v>
      </c>
      <c r="F148" s="124">
        <v>53.6</v>
      </c>
      <c r="G148" s="145">
        <f>D148*F148</f>
        <v>92.73</v>
      </c>
    </row>
    <row r="149" spans="2:7" ht="12.75">
      <c r="B149" t="s">
        <v>341</v>
      </c>
      <c r="D149" s="124">
        <v>7.95</v>
      </c>
      <c r="E149" t="s">
        <v>169</v>
      </c>
      <c r="F149" s="124">
        <v>144.5</v>
      </c>
      <c r="G149" s="145">
        <f aca="true" t="shared" si="3" ref="G149:G155">SUM(F149*D149)</f>
        <v>1148.78</v>
      </c>
    </row>
    <row r="150" spans="2:7" ht="12.75">
      <c r="B150" t="s">
        <v>342</v>
      </c>
      <c r="D150">
        <v>0.5</v>
      </c>
      <c r="E150" t="s">
        <v>98</v>
      </c>
      <c r="F150" s="124">
        <f>G91</f>
        <v>2332.5</v>
      </c>
      <c r="G150" s="145">
        <f t="shared" si="3"/>
        <v>1166.25</v>
      </c>
    </row>
    <row r="151" spans="2:7" ht="12.75">
      <c r="B151" t="s">
        <v>343</v>
      </c>
      <c r="D151">
        <v>0.56</v>
      </c>
      <c r="E151" t="s">
        <v>98</v>
      </c>
      <c r="F151" s="148">
        <f>G108</f>
        <v>8148.51</v>
      </c>
      <c r="G151" s="145">
        <f t="shared" si="3"/>
        <v>4563.17</v>
      </c>
    </row>
    <row r="152" spans="2:7" ht="12.75">
      <c r="B152" t="s">
        <v>344</v>
      </c>
      <c r="D152">
        <v>11.64</v>
      </c>
      <c r="E152" t="s">
        <v>167</v>
      </c>
      <c r="F152" s="124">
        <f>G120</f>
        <v>529.41</v>
      </c>
      <c r="G152" s="145">
        <f t="shared" si="3"/>
        <v>6162.33</v>
      </c>
    </row>
    <row r="153" spans="2:7" ht="12.75">
      <c r="B153" t="s">
        <v>345</v>
      </c>
      <c r="D153">
        <v>11.64</v>
      </c>
      <c r="E153" t="s">
        <v>673</v>
      </c>
      <c r="F153" s="124">
        <f>G134</f>
        <v>152.8</v>
      </c>
      <c r="G153" s="145">
        <f t="shared" si="3"/>
        <v>1778.59</v>
      </c>
    </row>
    <row r="154" spans="2:7" ht="12.75">
      <c r="B154" t="s">
        <v>346</v>
      </c>
      <c r="D154">
        <v>2</v>
      </c>
      <c r="E154" t="s">
        <v>321</v>
      </c>
      <c r="F154" s="124">
        <f>1500*1.16</f>
        <v>1740</v>
      </c>
      <c r="G154" s="145">
        <f t="shared" si="3"/>
        <v>3480</v>
      </c>
    </row>
    <row r="155" spans="2:7" ht="12.75">
      <c r="B155" t="s">
        <v>347</v>
      </c>
      <c r="D155">
        <v>1</v>
      </c>
      <c r="E155" t="s">
        <v>321</v>
      </c>
      <c r="F155" s="124">
        <f>4000*1.16</f>
        <v>4640</v>
      </c>
      <c r="G155" s="145">
        <f t="shared" si="3"/>
        <v>4640</v>
      </c>
    </row>
    <row r="156" spans="2:7" ht="12.75">
      <c r="B156" t="s">
        <v>348</v>
      </c>
      <c r="G156" s="145">
        <f>500*1.3</f>
        <v>650</v>
      </c>
    </row>
    <row r="157" spans="2:7" ht="12.75">
      <c r="B157" t="s">
        <v>349</v>
      </c>
      <c r="G157" s="145">
        <f>300*1.3</f>
        <v>390</v>
      </c>
    </row>
    <row r="158" spans="2:7" ht="12.75">
      <c r="B158" t="s">
        <v>350</v>
      </c>
      <c r="G158" s="145">
        <f>1050*1.3</f>
        <v>1365</v>
      </c>
    </row>
    <row r="159" ht="13.5" thickBot="1"/>
    <row r="160" spans="5:7" ht="13.5" thickBot="1">
      <c r="E160" s="118" t="s">
        <v>351</v>
      </c>
      <c r="G160" s="149">
        <f>SUM(G147:G158)</f>
        <v>26732.85</v>
      </c>
    </row>
    <row r="162" spans="2:7" ht="12.75">
      <c r="B162" s="152" t="s">
        <v>359</v>
      </c>
      <c r="G162" s="151"/>
    </row>
    <row r="163" spans="2:7" ht="12.75">
      <c r="B163" s="153" t="s">
        <v>360</v>
      </c>
      <c r="D163">
        <v>3.08</v>
      </c>
      <c r="E163" t="s">
        <v>691</v>
      </c>
      <c r="F163" s="124">
        <v>176.22</v>
      </c>
      <c r="G163" s="145">
        <f aca="true" t="shared" si="4" ref="G163:G170">SUM(F163*D163)</f>
        <v>542.76</v>
      </c>
    </row>
    <row r="164" spans="2:7" ht="12.75">
      <c r="B164" t="s">
        <v>341</v>
      </c>
      <c r="D164" s="124">
        <v>4.62</v>
      </c>
      <c r="E164" t="s">
        <v>169</v>
      </c>
      <c r="F164" s="124">
        <v>53.6</v>
      </c>
      <c r="G164" s="145">
        <f t="shared" si="4"/>
        <v>247.63</v>
      </c>
    </row>
    <row r="165" spans="2:7" ht="12.75">
      <c r="B165" t="s">
        <v>342</v>
      </c>
      <c r="D165">
        <v>0.22</v>
      </c>
      <c r="E165" t="s">
        <v>98</v>
      </c>
      <c r="F165" s="124">
        <v>144.5</v>
      </c>
      <c r="G165" s="145">
        <f t="shared" si="4"/>
        <v>31.79</v>
      </c>
    </row>
    <row r="166" spans="2:7" ht="12.75">
      <c r="B166" t="s">
        <v>343</v>
      </c>
      <c r="D166">
        <v>0.39</v>
      </c>
      <c r="E166" t="s">
        <v>98</v>
      </c>
      <c r="F166" s="148">
        <f>G108</f>
        <v>8148.51</v>
      </c>
      <c r="G166" s="145">
        <f t="shared" si="4"/>
        <v>3177.92</v>
      </c>
    </row>
    <row r="167" spans="2:7" ht="12.75">
      <c r="B167" t="s">
        <v>344</v>
      </c>
      <c r="D167">
        <v>8.96</v>
      </c>
      <c r="E167" t="s">
        <v>167</v>
      </c>
      <c r="F167" s="124">
        <f>G120</f>
        <v>529.41</v>
      </c>
      <c r="G167" s="145">
        <f t="shared" si="4"/>
        <v>4743.51</v>
      </c>
    </row>
    <row r="168" spans="2:7" ht="12.75">
      <c r="B168" t="s">
        <v>345</v>
      </c>
      <c r="D168">
        <v>11.64</v>
      </c>
      <c r="E168" t="s">
        <v>673</v>
      </c>
      <c r="F168" s="124">
        <f>G134</f>
        <v>152.8</v>
      </c>
      <c r="G168" s="145">
        <f t="shared" si="4"/>
        <v>1778.59</v>
      </c>
    </row>
    <row r="169" spans="2:7" ht="12.75">
      <c r="B169" t="s">
        <v>346</v>
      </c>
      <c r="D169">
        <v>1</v>
      </c>
      <c r="E169" t="s">
        <v>321</v>
      </c>
      <c r="F169" s="124">
        <v>1550</v>
      </c>
      <c r="G169" s="145">
        <f t="shared" si="4"/>
        <v>1550</v>
      </c>
    </row>
    <row r="170" spans="2:7" ht="12.75">
      <c r="B170" t="s">
        <v>347</v>
      </c>
      <c r="D170">
        <v>1</v>
      </c>
      <c r="E170" t="s">
        <v>321</v>
      </c>
      <c r="F170" s="124">
        <v>2825</v>
      </c>
      <c r="G170" s="145">
        <f t="shared" si="4"/>
        <v>2825</v>
      </c>
    </row>
    <row r="171" spans="2:7" ht="12.75">
      <c r="B171" t="s">
        <v>348</v>
      </c>
      <c r="G171" s="145">
        <f>500*1.3</f>
        <v>650</v>
      </c>
    </row>
    <row r="172" spans="2:7" ht="12.75">
      <c r="B172" t="s">
        <v>349</v>
      </c>
      <c r="G172" s="145">
        <f>200*1.3</f>
        <v>260</v>
      </c>
    </row>
    <row r="173" spans="2:7" ht="12.75">
      <c r="B173" t="s">
        <v>350</v>
      </c>
      <c r="G173" s="145">
        <f>1050*1.3</f>
        <v>1365</v>
      </c>
    </row>
    <row r="174" ht="13.5" thickBot="1"/>
    <row r="175" spans="5:7" ht="13.5" thickBot="1">
      <c r="E175" s="118" t="s">
        <v>351</v>
      </c>
      <c r="G175" s="149">
        <f>SUM(G163:G173)</f>
        <v>17172.2</v>
      </c>
    </row>
    <row r="179" ht="12.75">
      <c r="B179" s="118" t="s">
        <v>361</v>
      </c>
    </row>
    <row r="180" ht="12.75">
      <c r="B180" s="118"/>
    </row>
    <row r="181" ht="12.75">
      <c r="B181" t="s">
        <v>353</v>
      </c>
    </row>
    <row r="182" spans="2:5" ht="12.75">
      <c r="B182" s="118" t="s">
        <v>299</v>
      </c>
      <c r="E182" s="118" t="s">
        <v>670</v>
      </c>
    </row>
    <row r="183" ht="12.75">
      <c r="B183" s="118"/>
    </row>
    <row r="184" spans="2:3" ht="12.75">
      <c r="B184" s="118"/>
      <c r="C184" t="s">
        <v>354</v>
      </c>
    </row>
    <row r="185" spans="3:7" ht="12.75">
      <c r="C185" t="s">
        <v>11</v>
      </c>
      <c r="D185">
        <v>7</v>
      </c>
      <c r="E185" t="s">
        <v>292</v>
      </c>
      <c r="F185">
        <v>133</v>
      </c>
      <c r="G185" s="124">
        <f>SUM(F185*D185)</f>
        <v>931</v>
      </c>
    </row>
    <row r="186" spans="3:7" ht="12.75">
      <c r="C186" t="s">
        <v>6</v>
      </c>
      <c r="D186">
        <v>1.5</v>
      </c>
      <c r="E186" t="s">
        <v>98</v>
      </c>
      <c r="F186">
        <v>370</v>
      </c>
      <c r="G186" s="124">
        <f>SUM(F186*D186)</f>
        <v>555</v>
      </c>
    </row>
    <row r="187" spans="3:7" ht="12.75">
      <c r="C187" t="s">
        <v>180</v>
      </c>
      <c r="D187">
        <v>60</v>
      </c>
      <c r="E187" t="s">
        <v>301</v>
      </c>
      <c r="F187">
        <v>0.3</v>
      </c>
      <c r="G187" s="124">
        <f>SUM(F187*D187)</f>
        <v>18</v>
      </c>
    </row>
    <row r="188" spans="3:7" ht="13.5" thickBot="1">
      <c r="C188" t="s">
        <v>362</v>
      </c>
      <c r="D188">
        <v>1</v>
      </c>
      <c r="E188" t="s">
        <v>98</v>
      </c>
      <c r="F188">
        <f>268/2</f>
        <v>134</v>
      </c>
      <c r="G188" s="124">
        <f>SUM(D188*F188)</f>
        <v>134</v>
      </c>
    </row>
    <row r="189" spans="2:7" ht="13.5" thickBot="1">
      <c r="B189" t="s">
        <v>670</v>
      </c>
      <c r="E189" s="118" t="s">
        <v>303</v>
      </c>
      <c r="G189" s="146">
        <f>SUM(G185:G187)</f>
        <v>1504</v>
      </c>
    </row>
    <row r="190" ht="12.75">
      <c r="B190" s="118" t="s">
        <v>304</v>
      </c>
    </row>
    <row r="191" spans="2:3" ht="12.75">
      <c r="B191" s="118"/>
      <c r="C191" t="s">
        <v>670</v>
      </c>
    </row>
    <row r="192" spans="2:3" ht="12.75">
      <c r="B192" s="118"/>
      <c r="C192" t="s">
        <v>356</v>
      </c>
    </row>
    <row r="193" spans="3:7" ht="12.75">
      <c r="C193" t="s">
        <v>11</v>
      </c>
      <c r="D193">
        <v>8</v>
      </c>
      <c r="E193" t="s">
        <v>292</v>
      </c>
      <c r="F193" s="124">
        <v>133</v>
      </c>
      <c r="G193" s="124">
        <f>SUM(F193*D193)</f>
        <v>1064</v>
      </c>
    </row>
    <row r="194" spans="3:7" ht="12.75">
      <c r="C194" t="s">
        <v>12</v>
      </c>
      <c r="D194">
        <v>0.44</v>
      </c>
      <c r="E194" t="s">
        <v>98</v>
      </c>
      <c r="F194" s="124">
        <v>370</v>
      </c>
      <c r="G194" s="124">
        <f>SUM(F194*D194)</f>
        <v>162.8</v>
      </c>
    </row>
    <row r="195" spans="3:7" ht="12.75">
      <c r="C195" t="s">
        <v>700</v>
      </c>
      <c r="D195">
        <v>0.88</v>
      </c>
      <c r="E195" t="s">
        <v>98</v>
      </c>
      <c r="F195" s="124">
        <v>370</v>
      </c>
      <c r="G195" s="124">
        <f>SUM(F195*D195)</f>
        <v>325.6</v>
      </c>
    </row>
    <row r="196" spans="3:7" ht="12.75">
      <c r="C196" t="s">
        <v>180</v>
      </c>
      <c r="D196">
        <v>60</v>
      </c>
      <c r="E196" t="s">
        <v>160</v>
      </c>
      <c r="F196" s="124">
        <v>0.3</v>
      </c>
      <c r="G196" s="147">
        <f>SUM(D196*F196)</f>
        <v>18</v>
      </c>
    </row>
    <row r="197" spans="3:7" ht="12.75">
      <c r="C197" t="s">
        <v>362</v>
      </c>
      <c r="D197">
        <v>1</v>
      </c>
      <c r="E197" t="s">
        <v>98</v>
      </c>
      <c r="F197">
        <f>268/2</f>
        <v>134</v>
      </c>
      <c r="G197" s="124">
        <f>SUM(D197*F197)</f>
        <v>134</v>
      </c>
    </row>
    <row r="198" spans="5:7" ht="12.75">
      <c r="E198" t="s">
        <v>306</v>
      </c>
      <c r="G198" s="145">
        <f>SUM(G193:G197)</f>
        <v>1704.4</v>
      </c>
    </row>
    <row r="200" spans="2:7" ht="12.75">
      <c r="B200" t="s">
        <v>293</v>
      </c>
      <c r="D200">
        <v>1.57</v>
      </c>
      <c r="E200" t="s">
        <v>307</v>
      </c>
      <c r="F200" s="124">
        <v>1055.7</v>
      </c>
      <c r="G200" s="124">
        <f>SUM(F200*D200)</f>
        <v>1657.45</v>
      </c>
    </row>
    <row r="201" spans="2:7" ht="12.75">
      <c r="B201" t="s">
        <v>308</v>
      </c>
      <c r="D201">
        <v>1.57</v>
      </c>
      <c r="E201" t="s">
        <v>307</v>
      </c>
      <c r="F201" s="124">
        <v>109.2</v>
      </c>
      <c r="G201" s="124">
        <f>SUM(F201*D201)</f>
        <v>171.44</v>
      </c>
    </row>
    <row r="202" spans="2:7" ht="12.75">
      <c r="B202" t="s">
        <v>674</v>
      </c>
      <c r="D202">
        <v>2</v>
      </c>
      <c r="E202" t="s">
        <v>661</v>
      </c>
      <c r="F202" s="124">
        <v>30</v>
      </c>
      <c r="G202" s="124">
        <f>SUM(F202*D202)</f>
        <v>60</v>
      </c>
    </row>
    <row r="203" spans="2:7" ht="12.75">
      <c r="B203" t="s">
        <v>13</v>
      </c>
      <c r="D203">
        <v>1</v>
      </c>
      <c r="E203" t="s">
        <v>165</v>
      </c>
      <c r="F203" s="124">
        <v>300</v>
      </c>
      <c r="G203" s="124">
        <f>SUM(F203*D203)</f>
        <v>300</v>
      </c>
    </row>
    <row r="204" spans="2:7" ht="12.75">
      <c r="B204" t="s">
        <v>182</v>
      </c>
      <c r="D204">
        <v>1.5</v>
      </c>
      <c r="E204" t="s">
        <v>661</v>
      </c>
      <c r="F204" s="124">
        <v>30</v>
      </c>
      <c r="G204" s="124">
        <f>SUM(F204*D204)</f>
        <v>45</v>
      </c>
    </row>
    <row r="205" spans="5:7" ht="13.5" thickBot="1">
      <c r="E205" t="s">
        <v>309</v>
      </c>
      <c r="G205" s="148">
        <f>SUM(G200:G204)</f>
        <v>2233.89</v>
      </c>
    </row>
    <row r="206" spans="5:7" ht="13.5" thickBot="1">
      <c r="E206" s="118" t="s">
        <v>310</v>
      </c>
      <c r="G206" s="149">
        <f>SUM(G205+G198)</f>
        <v>3938.29</v>
      </c>
    </row>
    <row r="207" spans="5:7" ht="12.75">
      <c r="E207" s="118"/>
      <c r="G207" s="59"/>
    </row>
    <row r="208" ht="12.75">
      <c r="B208" s="118" t="s">
        <v>311</v>
      </c>
    </row>
    <row r="209" spans="2:5" ht="12.75">
      <c r="B209" t="s">
        <v>312</v>
      </c>
      <c r="D209">
        <v>11.64</v>
      </c>
      <c r="E209" t="s">
        <v>167</v>
      </c>
    </row>
    <row r="210" spans="2:7" ht="12.75">
      <c r="B210" t="s">
        <v>313</v>
      </c>
      <c r="D210">
        <v>13</v>
      </c>
      <c r="E210" t="s">
        <v>314</v>
      </c>
      <c r="F210" s="124">
        <v>13</v>
      </c>
      <c r="G210" s="124">
        <f aca="true" t="shared" si="5" ref="G210:G216">SUM(F210*D210)</f>
        <v>169</v>
      </c>
    </row>
    <row r="211" spans="2:7" ht="12.75">
      <c r="B211" t="s">
        <v>315</v>
      </c>
      <c r="D211">
        <v>13</v>
      </c>
      <c r="E211" t="s">
        <v>314</v>
      </c>
      <c r="F211" s="124">
        <v>7.49</v>
      </c>
      <c r="G211" s="124">
        <f t="shared" si="5"/>
        <v>97.37</v>
      </c>
    </row>
    <row r="212" spans="2:7" ht="12.75">
      <c r="B212" t="s">
        <v>316</v>
      </c>
      <c r="D212">
        <v>0.018</v>
      </c>
      <c r="E212" t="s">
        <v>317</v>
      </c>
      <c r="F212" s="124">
        <f>G242</f>
        <v>3857.5</v>
      </c>
      <c r="G212" s="124">
        <f t="shared" si="5"/>
        <v>69.44</v>
      </c>
    </row>
    <row r="213" spans="2:7" ht="12.75">
      <c r="B213" t="s">
        <v>318</v>
      </c>
      <c r="D213">
        <v>0.02</v>
      </c>
      <c r="E213" t="s">
        <v>98</v>
      </c>
      <c r="F213" s="124">
        <f>G189</f>
        <v>1504</v>
      </c>
      <c r="G213">
        <f t="shared" si="5"/>
        <v>30.08</v>
      </c>
    </row>
    <row r="214" spans="2:7" ht="12.75">
      <c r="B214" t="s">
        <v>319</v>
      </c>
      <c r="D214">
        <v>0.02</v>
      </c>
      <c r="E214" t="s">
        <v>307</v>
      </c>
      <c r="F214" s="124">
        <v>270</v>
      </c>
      <c r="G214" s="124">
        <f t="shared" si="5"/>
        <v>5.4</v>
      </c>
    </row>
    <row r="215" spans="2:7" ht="12.75">
      <c r="B215" t="s">
        <v>320</v>
      </c>
      <c r="D215">
        <v>13</v>
      </c>
      <c r="E215" t="s">
        <v>321</v>
      </c>
      <c r="F215" s="124">
        <v>2.56</v>
      </c>
      <c r="G215" s="124">
        <f t="shared" si="5"/>
        <v>33.28</v>
      </c>
    </row>
    <row r="216" spans="2:7" ht="12.75">
      <c r="B216" t="s">
        <v>322</v>
      </c>
      <c r="D216">
        <v>0.02</v>
      </c>
      <c r="E216" t="s">
        <v>307</v>
      </c>
      <c r="F216" s="124">
        <v>109.2</v>
      </c>
      <c r="G216" s="124">
        <f t="shared" si="5"/>
        <v>2.18</v>
      </c>
    </row>
    <row r="217" spans="5:7" ht="13.5" thickBot="1">
      <c r="E217" s="118"/>
      <c r="F217" s="124"/>
      <c r="G217" s="124"/>
    </row>
    <row r="218" spans="5:7" ht="13.5" thickBot="1">
      <c r="E218" s="118" t="s">
        <v>323</v>
      </c>
      <c r="F218" s="124"/>
      <c r="G218" s="146">
        <f>SUM(G210:G217)</f>
        <v>406.75</v>
      </c>
    </row>
    <row r="219" spans="5:7" ht="12.75">
      <c r="E219" s="118"/>
      <c r="F219" s="124"/>
      <c r="G219" s="150"/>
    </row>
    <row r="220" spans="2:7" ht="12.75">
      <c r="B220" s="118" t="s">
        <v>324</v>
      </c>
      <c r="G220" s="124"/>
    </row>
    <row r="221" spans="2:7" ht="12.75">
      <c r="B221" s="118"/>
      <c r="C221" t="s">
        <v>325</v>
      </c>
      <c r="G221" s="124"/>
    </row>
    <row r="222" spans="3:7" ht="12.75">
      <c r="C222" t="s">
        <v>326</v>
      </c>
      <c r="D222">
        <v>0.91</v>
      </c>
      <c r="E222" t="s">
        <v>98</v>
      </c>
      <c r="F222" s="124">
        <v>370</v>
      </c>
      <c r="G222" s="124">
        <f>SUM(F222*D222)</f>
        <v>336.7</v>
      </c>
    </row>
    <row r="223" spans="3:7" ht="12.75">
      <c r="C223" t="s">
        <v>327</v>
      </c>
      <c r="D223">
        <v>9.46</v>
      </c>
      <c r="E223" t="s">
        <v>98</v>
      </c>
      <c r="F223">
        <v>133</v>
      </c>
      <c r="G223" s="124">
        <f>SUM(F223*D223)</f>
        <v>1258.18</v>
      </c>
    </row>
    <row r="224" spans="3:7" ht="12.75">
      <c r="C224" t="s">
        <v>357</v>
      </c>
      <c r="D224">
        <v>6.29</v>
      </c>
      <c r="E224" t="s">
        <v>363</v>
      </c>
      <c r="F224">
        <v>150</v>
      </c>
      <c r="G224" s="124">
        <f>SUM(F224*D224)</f>
        <v>943.5</v>
      </c>
    </row>
    <row r="225" spans="3:7" ht="12.75">
      <c r="C225" t="s">
        <v>180</v>
      </c>
      <c r="D225">
        <v>60</v>
      </c>
      <c r="E225" t="s">
        <v>301</v>
      </c>
      <c r="F225">
        <v>0.3</v>
      </c>
      <c r="G225" s="124">
        <f>SUM(F225*D225)</f>
        <v>18</v>
      </c>
    </row>
    <row r="226" spans="5:7" ht="12.75">
      <c r="E226" t="s">
        <v>330</v>
      </c>
      <c r="G226" s="124">
        <f>SUM(G222:G225)</f>
        <v>2556.38</v>
      </c>
    </row>
    <row r="228" spans="2:7" ht="12.75">
      <c r="B228" t="s">
        <v>331</v>
      </c>
      <c r="G228" s="124"/>
    </row>
    <row r="229" spans="2:7" ht="12.75">
      <c r="B229" t="s">
        <v>332</v>
      </c>
      <c r="D229">
        <v>0.02</v>
      </c>
      <c r="E229" t="s">
        <v>98</v>
      </c>
      <c r="F229" s="124">
        <f>G226</f>
        <v>2556.38</v>
      </c>
      <c r="G229" s="124">
        <f>SUM(F229*D229)</f>
        <v>51.13</v>
      </c>
    </row>
    <row r="230" spans="2:7" ht="12.75">
      <c r="B230" t="s">
        <v>333</v>
      </c>
      <c r="D230">
        <v>1</v>
      </c>
      <c r="E230" t="s">
        <v>167</v>
      </c>
      <c r="F230" s="124">
        <v>61.64</v>
      </c>
      <c r="G230" s="124">
        <f>SUM(F230*D230)</f>
        <v>61.64</v>
      </c>
    </row>
    <row r="231" spans="2:7" ht="12.75">
      <c r="B231" t="s">
        <v>334</v>
      </c>
      <c r="D231">
        <v>0.033</v>
      </c>
      <c r="E231" t="s">
        <v>174</v>
      </c>
      <c r="F231" s="124">
        <v>18</v>
      </c>
      <c r="G231" s="124">
        <f>SUM(F231*D231)</f>
        <v>0.59</v>
      </c>
    </row>
    <row r="232" spans="2:7" ht="12.75">
      <c r="B232" t="s">
        <v>670</v>
      </c>
      <c r="E232" t="s">
        <v>335</v>
      </c>
      <c r="G232" s="124">
        <f>SUM(G229:G231)*1.05</f>
        <v>119.03</v>
      </c>
    </row>
    <row r="233" ht="12.75">
      <c r="G233" s="124"/>
    </row>
    <row r="234" ht="12.75">
      <c r="G234" s="124"/>
    </row>
    <row r="235" ht="12.75">
      <c r="G235" s="124"/>
    </row>
    <row r="236" ht="12.75">
      <c r="G236" s="124"/>
    </row>
    <row r="237" ht="12.75">
      <c r="B237" s="118" t="s">
        <v>336</v>
      </c>
    </row>
    <row r="238" ht="12.75">
      <c r="B238" t="s">
        <v>337</v>
      </c>
    </row>
    <row r="239" spans="2:7" ht="12.75">
      <c r="B239" t="s">
        <v>11</v>
      </c>
      <c r="D239">
        <v>11.51</v>
      </c>
      <c r="E239" t="s">
        <v>292</v>
      </c>
      <c r="F239" s="124">
        <f>SUM('[12]lista de materiales'!F7)</f>
        <v>250</v>
      </c>
      <c r="G239" s="124">
        <f>SUM(D239*F239)</f>
        <v>2877.5</v>
      </c>
    </row>
    <row r="240" spans="2:7" ht="12.75">
      <c r="B240" t="s">
        <v>699</v>
      </c>
      <c r="D240">
        <v>1</v>
      </c>
      <c r="E240" t="s">
        <v>98</v>
      </c>
      <c r="F240" s="124">
        <f>SUM('[12]lista de materiales'!F5)</f>
        <v>950</v>
      </c>
      <c r="G240" s="124">
        <f>SUM(D240*F240)</f>
        <v>950</v>
      </c>
    </row>
    <row r="241" spans="2:7" ht="12.75">
      <c r="B241" t="s">
        <v>180</v>
      </c>
      <c r="D241">
        <v>60</v>
      </c>
      <c r="E241" t="s">
        <v>160</v>
      </c>
      <c r="F241" s="124">
        <v>0.5</v>
      </c>
      <c r="G241" s="124">
        <f>SUM(D241*F241)</f>
        <v>30</v>
      </c>
    </row>
    <row r="242" spans="5:7" ht="12.75">
      <c r="E242" t="s">
        <v>338</v>
      </c>
      <c r="G242" s="151">
        <f>SUM(G239:G241)</f>
        <v>3857.5</v>
      </c>
    </row>
    <row r="243" ht="12.75">
      <c r="G243" s="151"/>
    </row>
    <row r="244" spans="2:7" ht="12.75">
      <c r="B244" s="118" t="s">
        <v>358</v>
      </c>
      <c r="G244" s="151"/>
    </row>
    <row r="245" spans="2:7" ht="12.75">
      <c r="B245" t="s">
        <v>225</v>
      </c>
      <c r="D245">
        <v>8.64</v>
      </c>
      <c r="E245" t="s">
        <v>691</v>
      </c>
      <c r="F245" s="124">
        <v>176.22</v>
      </c>
      <c r="G245" s="145">
        <f>SUM(F245*D245)</f>
        <v>1522.54</v>
      </c>
    </row>
    <row r="246" spans="2:7" ht="12.75">
      <c r="B246" t="s">
        <v>340</v>
      </c>
      <c r="D246" s="124">
        <f>0.2*8.64</f>
        <v>1.73</v>
      </c>
      <c r="E246" t="s">
        <v>164</v>
      </c>
      <c r="F246" s="124">
        <v>53.6</v>
      </c>
      <c r="G246" s="145">
        <f>D246*F246</f>
        <v>92.73</v>
      </c>
    </row>
    <row r="247" spans="2:7" ht="12.75">
      <c r="B247" t="s">
        <v>341</v>
      </c>
      <c r="D247" s="124">
        <v>7.95</v>
      </c>
      <c r="E247" t="s">
        <v>169</v>
      </c>
      <c r="F247" s="124">
        <v>172.67</v>
      </c>
      <c r="G247" s="145">
        <f aca="true" t="shared" si="6" ref="G247:G253">SUM(F247*D247)</f>
        <v>1372.73</v>
      </c>
    </row>
    <row r="248" spans="2:7" ht="12.75">
      <c r="B248" t="s">
        <v>342</v>
      </c>
      <c r="D248">
        <v>0.5</v>
      </c>
      <c r="E248" t="s">
        <v>98</v>
      </c>
      <c r="F248" s="124">
        <f>G189</f>
        <v>1504</v>
      </c>
      <c r="G248" s="145">
        <f t="shared" si="6"/>
        <v>752</v>
      </c>
    </row>
    <row r="249" spans="2:7" ht="12.75">
      <c r="B249" t="s">
        <v>343</v>
      </c>
      <c r="D249">
        <v>0.56</v>
      </c>
      <c r="E249" t="s">
        <v>98</v>
      </c>
      <c r="F249" s="148">
        <f>G206</f>
        <v>3938.29</v>
      </c>
      <c r="G249" s="145">
        <f t="shared" si="6"/>
        <v>2205.44</v>
      </c>
    </row>
    <row r="250" spans="2:7" ht="12.75">
      <c r="B250" t="s">
        <v>344</v>
      </c>
      <c r="D250">
        <v>11.64</v>
      </c>
      <c r="E250" t="s">
        <v>167</v>
      </c>
      <c r="F250" s="124">
        <f>G218</f>
        <v>406.75</v>
      </c>
      <c r="G250" s="145">
        <f t="shared" si="6"/>
        <v>4734.57</v>
      </c>
    </row>
    <row r="251" spans="2:7" ht="12.75">
      <c r="B251" t="s">
        <v>345</v>
      </c>
      <c r="D251">
        <v>11.64</v>
      </c>
      <c r="E251" t="s">
        <v>673</v>
      </c>
      <c r="F251" s="124">
        <f>G232</f>
        <v>119.03</v>
      </c>
      <c r="G251" s="145">
        <f t="shared" si="6"/>
        <v>1385.51</v>
      </c>
    </row>
    <row r="252" spans="2:7" ht="12.75">
      <c r="B252" t="s">
        <v>346</v>
      </c>
      <c r="D252">
        <v>2</v>
      </c>
      <c r="E252" t="s">
        <v>321</v>
      </c>
      <c r="F252" s="124">
        <v>1550</v>
      </c>
      <c r="G252" s="145">
        <f t="shared" si="6"/>
        <v>3100</v>
      </c>
    </row>
    <row r="253" spans="2:7" ht="12.75">
      <c r="B253" t="s">
        <v>347</v>
      </c>
      <c r="D253">
        <v>1</v>
      </c>
      <c r="E253" t="s">
        <v>321</v>
      </c>
      <c r="F253" s="124">
        <v>2825</v>
      </c>
      <c r="G253" s="145">
        <f t="shared" si="6"/>
        <v>2825</v>
      </c>
    </row>
    <row r="254" spans="2:7" ht="12.75">
      <c r="B254" t="s">
        <v>348</v>
      </c>
      <c r="G254" s="145">
        <f>500*1.3</f>
        <v>650</v>
      </c>
    </row>
    <row r="255" spans="2:7" ht="12.75">
      <c r="B255" t="s">
        <v>349</v>
      </c>
      <c r="G255" s="145">
        <f>300*1.3</f>
        <v>390</v>
      </c>
    </row>
    <row r="256" spans="2:7" ht="12.75">
      <c r="B256" t="s">
        <v>350</v>
      </c>
      <c r="G256" s="145">
        <f>1050*1.3</f>
        <v>1365</v>
      </c>
    </row>
    <row r="257" ht="13.5" thickBot="1"/>
    <row r="258" spans="5:7" ht="13.5" thickBot="1">
      <c r="E258" s="118" t="s">
        <v>351</v>
      </c>
      <c r="G258" s="149">
        <f>SUM(G245:G256)</f>
        <v>20395.52</v>
      </c>
    </row>
    <row r="260" spans="2:7" ht="12.75">
      <c r="B260" s="152" t="s">
        <v>364</v>
      </c>
      <c r="G260" s="151"/>
    </row>
    <row r="261" spans="2:7" ht="12.75">
      <c r="B261" s="153" t="s">
        <v>360</v>
      </c>
      <c r="D261">
        <v>3.08</v>
      </c>
      <c r="E261" t="s">
        <v>691</v>
      </c>
      <c r="F261" s="124">
        <v>176.22</v>
      </c>
      <c r="G261" s="145">
        <f aca="true" t="shared" si="7" ref="G261:G268">SUM(F261*D261)</f>
        <v>542.76</v>
      </c>
    </row>
    <row r="262" spans="2:7" ht="12.75">
      <c r="B262" t="s">
        <v>341</v>
      </c>
      <c r="D262" s="124">
        <v>4.62</v>
      </c>
      <c r="E262" t="s">
        <v>169</v>
      </c>
      <c r="F262" s="124">
        <v>53.6</v>
      </c>
      <c r="G262" s="145">
        <f t="shared" si="7"/>
        <v>247.63</v>
      </c>
    </row>
    <row r="263" spans="2:7" ht="12.75">
      <c r="B263" t="s">
        <v>342</v>
      </c>
      <c r="D263">
        <v>0.22</v>
      </c>
      <c r="E263" t="s">
        <v>98</v>
      </c>
      <c r="F263" s="124">
        <v>172.67</v>
      </c>
      <c r="G263" s="145">
        <f t="shared" si="7"/>
        <v>37.99</v>
      </c>
    </row>
    <row r="264" spans="2:7" ht="12.75">
      <c r="B264" t="s">
        <v>343</v>
      </c>
      <c r="D264">
        <v>0.39</v>
      </c>
      <c r="E264" t="s">
        <v>98</v>
      </c>
      <c r="F264" s="148">
        <f>G206</f>
        <v>3938.29</v>
      </c>
      <c r="G264" s="145">
        <f t="shared" si="7"/>
        <v>1535.93</v>
      </c>
    </row>
    <row r="265" spans="2:7" ht="12.75">
      <c r="B265" t="s">
        <v>344</v>
      </c>
      <c r="D265">
        <v>8.96</v>
      </c>
      <c r="E265" t="s">
        <v>167</v>
      </c>
      <c r="F265" s="124">
        <f>G218</f>
        <v>406.75</v>
      </c>
      <c r="G265" s="145">
        <f t="shared" si="7"/>
        <v>3644.48</v>
      </c>
    </row>
    <row r="266" spans="2:7" ht="12.75">
      <c r="B266" t="s">
        <v>345</v>
      </c>
      <c r="D266">
        <v>11.64</v>
      </c>
      <c r="E266" t="s">
        <v>673</v>
      </c>
      <c r="F266" s="124">
        <f>G232</f>
        <v>119.03</v>
      </c>
      <c r="G266" s="145">
        <f t="shared" si="7"/>
        <v>1385.51</v>
      </c>
    </row>
    <row r="267" spans="2:7" ht="12.75">
      <c r="B267" t="s">
        <v>346</v>
      </c>
      <c r="D267">
        <v>1</v>
      </c>
      <c r="E267" t="s">
        <v>321</v>
      </c>
      <c r="F267" s="124">
        <v>1550</v>
      </c>
      <c r="G267" s="145">
        <f t="shared" si="7"/>
        <v>1550</v>
      </c>
    </row>
    <row r="268" spans="2:7" ht="12.75">
      <c r="B268" t="s">
        <v>347</v>
      </c>
      <c r="D268">
        <v>1</v>
      </c>
      <c r="E268" t="s">
        <v>321</v>
      </c>
      <c r="F268" s="124">
        <v>2825</v>
      </c>
      <c r="G268" s="145">
        <f t="shared" si="7"/>
        <v>2825</v>
      </c>
    </row>
    <row r="269" spans="2:7" ht="12.75">
      <c r="B269" t="s">
        <v>348</v>
      </c>
      <c r="G269" s="145">
        <f>500*1.3</f>
        <v>650</v>
      </c>
    </row>
    <row r="270" spans="2:7" ht="12.75">
      <c r="B270" t="s">
        <v>349</v>
      </c>
      <c r="G270" s="145">
        <f>200*1.3</f>
        <v>260</v>
      </c>
    </row>
    <row r="271" spans="2:7" ht="12.75">
      <c r="B271" t="s">
        <v>350</v>
      </c>
      <c r="G271" s="145">
        <f>1050*1.3</f>
        <v>1365</v>
      </c>
    </row>
    <row r="272" ht="13.5" thickBot="1"/>
    <row r="273" spans="5:7" ht="13.5" thickBot="1">
      <c r="E273" s="118" t="s">
        <v>351</v>
      </c>
      <c r="G273" s="149">
        <f>SUM(G261:G271)</f>
        <v>14044.3</v>
      </c>
    </row>
    <row r="275" ht="12.75">
      <c r="B275" s="118" t="s">
        <v>365</v>
      </c>
    </row>
    <row r="277" spans="2:7" ht="12.75">
      <c r="B277" t="s">
        <v>366</v>
      </c>
      <c r="D277">
        <v>1</v>
      </c>
      <c r="E277" t="s">
        <v>321</v>
      </c>
      <c r="F277">
        <v>874.67</v>
      </c>
      <c r="G277">
        <v>522</v>
      </c>
    </row>
    <row r="278" spans="2:7" ht="12.75">
      <c r="B278" t="s">
        <v>367</v>
      </c>
      <c r="G278">
        <v>52.2</v>
      </c>
    </row>
    <row r="279" spans="2:7" ht="12.75">
      <c r="B279" t="s">
        <v>368</v>
      </c>
      <c r="D279">
        <v>4</v>
      </c>
      <c r="E279" t="s">
        <v>321</v>
      </c>
      <c r="F279">
        <v>20</v>
      </c>
      <c r="G279">
        <v>80</v>
      </c>
    </row>
    <row r="280" spans="2:7" ht="12.75">
      <c r="B280" t="s">
        <v>369</v>
      </c>
      <c r="D280">
        <v>1</v>
      </c>
      <c r="E280" t="s">
        <v>101</v>
      </c>
      <c r="F280">
        <v>2.5</v>
      </c>
      <c r="G280">
        <v>2.5</v>
      </c>
    </row>
    <row r="281" spans="2:7" ht="12.75">
      <c r="B281" t="s">
        <v>370</v>
      </c>
      <c r="D281">
        <v>1</v>
      </c>
      <c r="E281" t="s">
        <v>321</v>
      </c>
      <c r="F281">
        <v>50</v>
      </c>
      <c r="G281">
        <v>50</v>
      </c>
    </row>
    <row r="282" spans="2:7" ht="12.75">
      <c r="B282" t="s">
        <v>371</v>
      </c>
      <c r="D282">
        <v>1</v>
      </c>
      <c r="E282" t="s">
        <v>321</v>
      </c>
      <c r="F282">
        <v>25</v>
      </c>
      <c r="G282">
        <v>25</v>
      </c>
    </row>
    <row r="283" spans="2:7" ht="12.75">
      <c r="B283" t="s">
        <v>184</v>
      </c>
      <c r="D283">
        <v>1</v>
      </c>
      <c r="E283" t="s">
        <v>101</v>
      </c>
      <c r="F283">
        <v>25</v>
      </c>
      <c r="G283">
        <v>25</v>
      </c>
    </row>
    <row r="284" spans="6:7" ht="12.75">
      <c r="F284" t="s">
        <v>372</v>
      </c>
      <c r="G284">
        <v>756.7</v>
      </c>
    </row>
    <row r="287" spans="2:7" ht="12.75">
      <c r="B287" s="118" t="s">
        <v>373</v>
      </c>
      <c r="F287" s="118"/>
      <c r="G287" s="154"/>
    </row>
    <row r="288" spans="6:7" ht="12.75">
      <c r="F288" s="118"/>
      <c r="G288" s="154"/>
    </row>
    <row r="289" spans="3:7" ht="12.75">
      <c r="C289" t="s">
        <v>374</v>
      </c>
      <c r="F289" s="118"/>
      <c r="G289" s="154"/>
    </row>
    <row r="290" spans="3:7" ht="12.75">
      <c r="C290" s="153" t="s">
        <v>375</v>
      </c>
      <c r="D290">
        <v>6</v>
      </c>
      <c r="E290" t="s">
        <v>376</v>
      </c>
      <c r="F290" s="122">
        <v>321.6</v>
      </c>
      <c r="G290" s="155">
        <f>SUM(F290*D290)</f>
        <v>1929.6</v>
      </c>
    </row>
    <row r="291" spans="3:7" ht="12.75">
      <c r="C291" s="153" t="s">
        <v>377</v>
      </c>
      <c r="D291">
        <v>0.25</v>
      </c>
      <c r="E291" t="s">
        <v>172</v>
      </c>
      <c r="F291" s="122">
        <v>966</v>
      </c>
      <c r="G291" s="155">
        <f>SUM(F291*D291)</f>
        <v>241.5</v>
      </c>
    </row>
    <row r="292" spans="6:7" ht="12.75">
      <c r="F292" s="156" t="s">
        <v>378</v>
      </c>
      <c r="G292" s="148">
        <f>SUM(G290:G291)</f>
        <v>2171.1</v>
      </c>
    </row>
    <row r="293" spans="6:7" ht="12.75">
      <c r="F293" s="122" t="s">
        <v>379</v>
      </c>
      <c r="G293" s="154"/>
    </row>
    <row r="294" spans="6:7" ht="12.75">
      <c r="F294" s="118" t="s">
        <v>380</v>
      </c>
      <c r="G294" s="157">
        <f>SUM(G290:G291)</f>
        <v>2171.1</v>
      </c>
    </row>
    <row r="295" spans="4:7" ht="12.75">
      <c r="D295" s="148"/>
      <c r="E295" s="148"/>
      <c r="F295" s="148"/>
      <c r="G295" s="148"/>
    </row>
    <row r="296" spans="2:7" ht="12.75">
      <c r="B296" s="122" t="s">
        <v>381</v>
      </c>
      <c r="E296" s="118"/>
      <c r="G296" s="150"/>
    </row>
    <row r="297" spans="2:7" ht="12.75">
      <c r="B297" s="118"/>
      <c r="C297" s="153" t="s">
        <v>382</v>
      </c>
      <c r="E297" s="118"/>
      <c r="G297" s="150">
        <f>144.5*8.64</f>
        <v>1248.48</v>
      </c>
    </row>
    <row r="298" spans="2:7" ht="12.75">
      <c r="B298" s="118"/>
      <c r="E298" s="118"/>
      <c r="F298" t="s">
        <v>383</v>
      </c>
      <c r="G298" s="147">
        <f>SUM(G294:G297)</f>
        <v>3419.58</v>
      </c>
    </row>
    <row r="299" spans="2:7" ht="12.75">
      <c r="B299" s="118"/>
      <c r="E299" s="118"/>
      <c r="F299" s="118"/>
      <c r="G299" s="154"/>
    </row>
    <row r="302" ht="12.75">
      <c r="B302" s="118" t="s">
        <v>384</v>
      </c>
    </row>
    <row r="303" ht="12.75">
      <c r="B303" s="118"/>
    </row>
    <row r="304" ht="12.75">
      <c r="B304" t="s">
        <v>385</v>
      </c>
    </row>
    <row r="305" spans="2:5" ht="12.75">
      <c r="B305" s="118" t="s">
        <v>386</v>
      </c>
      <c r="E305" s="118" t="s">
        <v>670</v>
      </c>
    </row>
    <row r="306" ht="12.75">
      <c r="B306" s="118"/>
    </row>
    <row r="307" spans="2:3" ht="12.75">
      <c r="B307" s="118"/>
      <c r="C307" t="s">
        <v>387</v>
      </c>
    </row>
    <row r="308" spans="3:7" ht="12.75">
      <c r="C308" t="s">
        <v>11</v>
      </c>
      <c r="D308">
        <v>7</v>
      </c>
      <c r="E308" t="s">
        <v>292</v>
      </c>
      <c r="F308" s="124">
        <f>SUM('[12]lista de materiales'!F7)</f>
        <v>250</v>
      </c>
      <c r="G308" s="124">
        <f>SUM(F308*D308)</f>
        <v>1750</v>
      </c>
    </row>
    <row r="309" spans="3:7" ht="12.75">
      <c r="C309" t="s">
        <v>6</v>
      </c>
      <c r="D309">
        <v>1.5</v>
      </c>
      <c r="E309" t="s">
        <v>98</v>
      </c>
      <c r="F309" s="124">
        <f>SUM('[12]lista de materiales'!F3)</f>
        <v>950</v>
      </c>
      <c r="G309" s="124">
        <f>SUM(F309*D309)</f>
        <v>1425</v>
      </c>
    </row>
    <row r="310" spans="3:7" ht="12.75">
      <c r="C310" t="s">
        <v>180</v>
      </c>
      <c r="D310">
        <v>60</v>
      </c>
      <c r="E310" t="s">
        <v>301</v>
      </c>
      <c r="F310">
        <v>0.5</v>
      </c>
      <c r="G310" s="124">
        <f>SUM(F310*D310)</f>
        <v>30</v>
      </c>
    </row>
    <row r="311" spans="3:7" ht="12.75">
      <c r="C311" t="s">
        <v>355</v>
      </c>
      <c r="D311">
        <v>1</v>
      </c>
      <c r="E311" t="s">
        <v>98</v>
      </c>
      <c r="F311">
        <v>232.16</v>
      </c>
      <c r="G311" s="124">
        <f>SUM(D311*F311)</f>
        <v>232.16</v>
      </c>
    </row>
    <row r="312" spans="2:7" ht="12.75">
      <c r="B312" t="s">
        <v>670</v>
      </c>
      <c r="E312" s="118" t="s">
        <v>388</v>
      </c>
      <c r="G312" s="158">
        <f>SUM(G308:G310)</f>
        <v>3205</v>
      </c>
    </row>
    <row r="313" spans="5:7" ht="12.75">
      <c r="E313" s="118"/>
      <c r="G313" s="150"/>
    </row>
    <row r="314" spans="2:7" ht="12.75">
      <c r="B314" t="s">
        <v>293</v>
      </c>
      <c r="D314">
        <v>1.85</v>
      </c>
      <c r="E314" t="s">
        <v>307</v>
      </c>
      <c r="F314" s="124">
        <f>SUM('[12]lista de materiales'!F13)</f>
        <v>1450</v>
      </c>
      <c r="G314" s="124">
        <f>SUM(F314*D314)</f>
        <v>2682.5</v>
      </c>
    </row>
    <row r="315" spans="2:7" ht="12.75">
      <c r="B315" t="s">
        <v>308</v>
      </c>
      <c r="D315">
        <v>1.85</v>
      </c>
      <c r="E315" t="s">
        <v>307</v>
      </c>
      <c r="F315" s="124">
        <v>153</v>
      </c>
      <c r="G315" s="124">
        <f>SUM(F315*D315)</f>
        <v>283.05</v>
      </c>
    </row>
    <row r="316" spans="2:7" ht="12.75">
      <c r="B316" t="s">
        <v>674</v>
      </c>
      <c r="D316">
        <f>2*1.85</f>
        <v>3.7</v>
      </c>
      <c r="E316" t="s">
        <v>661</v>
      </c>
      <c r="F316" s="124">
        <f>SUM('[12]lista de materiales'!F17)</f>
        <v>50</v>
      </c>
      <c r="G316" s="124">
        <f>SUM(F316*D316)</f>
        <v>185</v>
      </c>
    </row>
    <row r="317" spans="2:7" ht="12.75">
      <c r="B317" t="s">
        <v>182</v>
      </c>
      <c r="D317">
        <v>1.5</v>
      </c>
      <c r="E317" t="s">
        <v>661</v>
      </c>
      <c r="F317" s="124">
        <f>SUM('[12]lista de materiales'!F18)</f>
        <v>35</v>
      </c>
      <c r="G317" s="124">
        <f>SUM(F317*D317)</f>
        <v>52.5</v>
      </c>
    </row>
    <row r="318" spans="5:7" ht="13.5" thickBot="1">
      <c r="E318" t="s">
        <v>309</v>
      </c>
      <c r="G318" s="148">
        <f>SUM(G314:G317)</f>
        <v>3203.05</v>
      </c>
    </row>
    <row r="319" spans="5:7" ht="13.5" thickBot="1">
      <c r="E319" s="118" t="s">
        <v>310</v>
      </c>
      <c r="G319" s="149">
        <f>SUM(G318+G312)</f>
        <v>6408.05</v>
      </c>
    </row>
    <row r="320" spans="5:7" ht="12.75">
      <c r="E320" s="118"/>
      <c r="G320" s="150"/>
    </row>
    <row r="321" ht="12.75">
      <c r="B321" s="118" t="s">
        <v>304</v>
      </c>
    </row>
    <row r="322" spans="2:3" ht="12.75">
      <c r="B322" s="118"/>
      <c r="C322" t="s">
        <v>670</v>
      </c>
    </row>
    <row r="323" spans="2:3" ht="12.75">
      <c r="B323" s="118"/>
      <c r="C323" t="s">
        <v>389</v>
      </c>
    </row>
    <row r="324" spans="3:7" ht="12.75">
      <c r="C324" t="s">
        <v>11</v>
      </c>
      <c r="D324">
        <v>8</v>
      </c>
      <c r="E324" t="s">
        <v>292</v>
      </c>
      <c r="F324" s="124">
        <f>SUM(F308)</f>
        <v>250</v>
      </c>
      <c r="G324" s="124">
        <f>SUM(F324*D324)</f>
        <v>2000</v>
      </c>
    </row>
    <row r="325" spans="3:7" ht="12.75">
      <c r="C325" t="s">
        <v>12</v>
      </c>
      <c r="D325">
        <v>0.44</v>
      </c>
      <c r="E325" t="s">
        <v>98</v>
      </c>
      <c r="F325" s="124">
        <f>SUM('[12]lista de materiales'!F5)</f>
        <v>950</v>
      </c>
      <c r="G325" s="124">
        <f>SUM(F325*D325)</f>
        <v>418</v>
      </c>
    </row>
    <row r="326" spans="3:7" ht="12.75">
      <c r="C326" t="s">
        <v>700</v>
      </c>
      <c r="D326">
        <v>0.88</v>
      </c>
      <c r="E326" t="s">
        <v>98</v>
      </c>
      <c r="F326" s="124">
        <f>SUM('[12]lista de materiales'!F3)</f>
        <v>950</v>
      </c>
      <c r="G326" s="124">
        <f>SUM(F326*D326)</f>
        <v>836</v>
      </c>
    </row>
    <row r="327" spans="3:7" ht="12.75">
      <c r="C327" t="s">
        <v>180</v>
      </c>
      <c r="D327">
        <v>60</v>
      </c>
      <c r="E327" t="s">
        <v>160</v>
      </c>
      <c r="F327" s="124">
        <v>0.5</v>
      </c>
      <c r="G327" s="147">
        <f>SUM(D327*F327)</f>
        <v>30</v>
      </c>
    </row>
    <row r="328" spans="3:7" ht="12.75">
      <c r="C328" t="s">
        <v>355</v>
      </c>
      <c r="D328">
        <v>1</v>
      </c>
      <c r="E328" t="s">
        <v>98</v>
      </c>
      <c r="F328">
        <v>232.16</v>
      </c>
      <c r="G328" s="147">
        <f>SUM(F328*D328)</f>
        <v>232.16</v>
      </c>
    </row>
    <row r="329" spans="5:7" ht="12.75">
      <c r="E329" t="s">
        <v>306</v>
      </c>
      <c r="G329" s="145">
        <f>SUM(G324:G328)</f>
        <v>3516.16</v>
      </c>
    </row>
    <row r="331" spans="2:7" ht="12.75">
      <c r="B331" t="s">
        <v>293</v>
      </c>
      <c r="D331">
        <v>2.308</v>
      </c>
      <c r="E331" t="s">
        <v>307</v>
      </c>
      <c r="F331" s="124">
        <f>SUM('[12]lista de materiales'!F13)</f>
        <v>1450</v>
      </c>
      <c r="G331" s="124">
        <f>SUM(F331*D331)</f>
        <v>3346.6</v>
      </c>
    </row>
    <row r="332" spans="2:7" ht="12.75">
      <c r="B332" t="s">
        <v>308</v>
      </c>
      <c r="D332">
        <v>2.308</v>
      </c>
      <c r="E332" t="s">
        <v>307</v>
      </c>
      <c r="F332" s="124">
        <v>153</v>
      </c>
      <c r="G332" s="124">
        <f>SUM(F332*D332)</f>
        <v>353.12</v>
      </c>
    </row>
    <row r="333" spans="2:7" ht="12.75">
      <c r="B333" t="s">
        <v>674</v>
      </c>
      <c r="D333">
        <f>2*2.308</f>
        <v>4.616</v>
      </c>
      <c r="E333" t="s">
        <v>661</v>
      </c>
      <c r="F333" s="124">
        <f>SUM('[12]lista de materiales'!F17)</f>
        <v>50</v>
      </c>
      <c r="G333" s="124">
        <f>SUM(F333*D333)</f>
        <v>230.8</v>
      </c>
    </row>
    <row r="334" spans="2:7" ht="12.75">
      <c r="B334" t="s">
        <v>13</v>
      </c>
      <c r="D334">
        <v>1</v>
      </c>
      <c r="E334" t="s">
        <v>165</v>
      </c>
      <c r="F334" s="124">
        <v>2500</v>
      </c>
      <c r="G334" s="124">
        <f>SUM(F334*D334)</f>
        <v>2500</v>
      </c>
    </row>
    <row r="335" spans="2:7" ht="12.75">
      <c r="B335" t="s">
        <v>182</v>
      </c>
      <c r="D335">
        <v>1.5</v>
      </c>
      <c r="E335" t="s">
        <v>661</v>
      </c>
      <c r="F335" s="124">
        <f>SUM('[12]lista de materiales'!F18)</f>
        <v>35</v>
      </c>
      <c r="G335" s="124">
        <f>SUM(F335*D335)</f>
        <v>52.5</v>
      </c>
    </row>
    <row r="336" spans="5:7" ht="13.5" thickBot="1">
      <c r="E336" t="s">
        <v>309</v>
      </c>
      <c r="G336" s="148">
        <f>SUM(G331:G335)</f>
        <v>6483.02</v>
      </c>
    </row>
    <row r="337" spans="5:7" ht="13.5" thickBot="1">
      <c r="E337" s="118" t="s">
        <v>310</v>
      </c>
      <c r="G337" s="149">
        <f>SUM(G336+G329)</f>
        <v>9999.18</v>
      </c>
    </row>
    <row r="338" spans="5:7" ht="12.75">
      <c r="E338" s="118"/>
      <c r="G338" s="59"/>
    </row>
    <row r="339" ht="12.75">
      <c r="B339" s="118" t="s">
        <v>390</v>
      </c>
    </row>
    <row r="340" spans="2:5" ht="12.75">
      <c r="B340" t="s">
        <v>312</v>
      </c>
      <c r="D340">
        <v>11.64</v>
      </c>
      <c r="E340" t="s">
        <v>167</v>
      </c>
    </row>
    <row r="341" spans="2:7" ht="12.75">
      <c r="B341" t="s">
        <v>313</v>
      </c>
      <c r="D341">
        <v>13</v>
      </c>
      <c r="E341" t="s">
        <v>314</v>
      </c>
      <c r="F341" s="124">
        <f>SUM('[12]lista de materiales'!F15)</f>
        <v>23</v>
      </c>
      <c r="G341" s="124">
        <f aca="true" t="shared" si="8" ref="G341:G347">SUM(F341*D341)</f>
        <v>299</v>
      </c>
    </row>
    <row r="342" spans="2:7" ht="12.75">
      <c r="B342" t="s">
        <v>315</v>
      </c>
      <c r="D342">
        <v>13</v>
      </c>
      <c r="E342" t="s">
        <v>314</v>
      </c>
      <c r="F342" s="124">
        <f>1.2*7.49</f>
        <v>8.99</v>
      </c>
      <c r="G342" s="124">
        <f t="shared" si="8"/>
        <v>116.87</v>
      </c>
    </row>
    <row r="343" spans="2:7" ht="12.75">
      <c r="B343" t="s">
        <v>316</v>
      </c>
      <c r="D343">
        <v>0.018</v>
      </c>
      <c r="E343" t="s">
        <v>317</v>
      </c>
      <c r="F343" s="124">
        <f>G373</f>
        <v>3857.5</v>
      </c>
      <c r="G343" s="124">
        <f t="shared" si="8"/>
        <v>69.44</v>
      </c>
    </row>
    <row r="344" spans="2:7" ht="12.75">
      <c r="B344" t="s">
        <v>318</v>
      </c>
      <c r="D344">
        <v>0.02</v>
      </c>
      <c r="E344" t="s">
        <v>98</v>
      </c>
      <c r="F344" s="124">
        <f>G312</f>
        <v>3205</v>
      </c>
      <c r="G344">
        <f t="shared" si="8"/>
        <v>64.1</v>
      </c>
    </row>
    <row r="345" spans="2:7" ht="12.75">
      <c r="B345" t="s">
        <v>319</v>
      </c>
      <c r="D345">
        <v>0.083</v>
      </c>
      <c r="E345" t="s">
        <v>307</v>
      </c>
      <c r="F345" s="124">
        <f>SUM('[12]lista de materiales'!F13)</f>
        <v>1450</v>
      </c>
      <c r="G345" s="124">
        <f t="shared" si="8"/>
        <v>120.35</v>
      </c>
    </row>
    <row r="346" spans="2:7" ht="12.75">
      <c r="B346" t="s">
        <v>320</v>
      </c>
      <c r="D346">
        <v>13</v>
      </c>
      <c r="E346" t="s">
        <v>321</v>
      </c>
      <c r="F346" s="124">
        <f>1.2*2.56</f>
        <v>3.07</v>
      </c>
      <c r="G346" s="124">
        <f t="shared" si="8"/>
        <v>39.91</v>
      </c>
    </row>
    <row r="347" spans="2:7" ht="12.75">
      <c r="B347" t="s">
        <v>322</v>
      </c>
      <c r="D347">
        <v>0.083</v>
      </c>
      <c r="E347" t="s">
        <v>307</v>
      </c>
      <c r="F347" s="124">
        <v>153</v>
      </c>
      <c r="G347" s="124">
        <f t="shared" si="8"/>
        <v>12.7</v>
      </c>
    </row>
    <row r="348" spans="5:7" ht="13.5" thickBot="1">
      <c r="E348" s="118"/>
      <c r="F348" s="124"/>
      <c r="G348" s="124"/>
    </row>
    <row r="349" spans="5:7" ht="13.5" thickBot="1">
      <c r="E349" s="118" t="s">
        <v>323</v>
      </c>
      <c r="F349" s="124"/>
      <c r="G349" s="146">
        <f>SUM(G341:G348)</f>
        <v>722.37</v>
      </c>
    </row>
    <row r="350" spans="5:7" ht="12.75">
      <c r="E350" s="118"/>
      <c r="F350" s="124"/>
      <c r="G350" s="150"/>
    </row>
    <row r="351" spans="2:7" ht="12.75">
      <c r="B351" s="118" t="s">
        <v>324</v>
      </c>
      <c r="G351" s="124"/>
    </row>
    <row r="352" spans="2:7" ht="12.75" customHeight="1">
      <c r="B352" s="118"/>
      <c r="C352" t="s">
        <v>325</v>
      </c>
      <c r="G352" s="124"/>
    </row>
    <row r="353" spans="3:7" ht="12.75">
      <c r="C353" t="s">
        <v>326</v>
      </c>
      <c r="D353">
        <v>0.91</v>
      </c>
      <c r="E353" t="s">
        <v>98</v>
      </c>
      <c r="F353" s="124">
        <f>SUM('[12]lista de materiales'!F5)</f>
        <v>950</v>
      </c>
      <c r="G353" s="124">
        <f>SUM(F353*D353)</f>
        <v>864.5</v>
      </c>
    </row>
    <row r="354" spans="3:7" ht="12.75">
      <c r="C354" t="s">
        <v>327</v>
      </c>
      <c r="D354">
        <v>9.46</v>
      </c>
      <c r="E354" t="s">
        <v>98</v>
      </c>
      <c r="F354" s="124">
        <f>SUM('[12]lista de materiales'!F7)</f>
        <v>250</v>
      </c>
      <c r="G354" s="124">
        <f>SUM(F354*D354)</f>
        <v>2365</v>
      </c>
    </row>
    <row r="355" spans="3:7" ht="12.75">
      <c r="C355" t="s">
        <v>357</v>
      </c>
      <c r="D355">
        <v>6.29</v>
      </c>
      <c r="E355" t="s">
        <v>329</v>
      </c>
      <c r="F355">
        <v>150</v>
      </c>
      <c r="G355" s="124">
        <f>SUM(F355*D355)</f>
        <v>943.5</v>
      </c>
    </row>
    <row r="356" spans="3:7" ht="12.75">
      <c r="C356" t="s">
        <v>180</v>
      </c>
      <c r="D356">
        <v>60</v>
      </c>
      <c r="E356" t="s">
        <v>301</v>
      </c>
      <c r="F356">
        <v>0.5</v>
      </c>
      <c r="G356" s="124">
        <f>SUM(F356*D356)</f>
        <v>30</v>
      </c>
    </row>
    <row r="357" spans="5:7" ht="12.75">
      <c r="E357" t="s">
        <v>330</v>
      </c>
      <c r="G357" s="124">
        <f>SUM(G353:G356)</f>
        <v>4203</v>
      </c>
    </row>
    <row r="359" spans="2:7" ht="12.75">
      <c r="B359" t="s">
        <v>331</v>
      </c>
      <c r="G359" s="124"/>
    </row>
    <row r="360" spans="2:7" ht="12.75">
      <c r="B360" t="s">
        <v>332</v>
      </c>
      <c r="D360">
        <v>0.02</v>
      </c>
      <c r="E360" t="s">
        <v>98</v>
      </c>
      <c r="F360" s="124">
        <f>G357</f>
        <v>4203</v>
      </c>
      <c r="G360" s="124">
        <f>SUM(F360*D360)</f>
        <v>84.06</v>
      </c>
    </row>
    <row r="361" spans="2:7" ht="12.75">
      <c r="B361" t="s">
        <v>333</v>
      </c>
      <c r="D361">
        <v>1</v>
      </c>
      <c r="E361" t="s">
        <v>167</v>
      </c>
      <c r="F361" s="124">
        <f>1.2*61.64</f>
        <v>73.97</v>
      </c>
      <c r="G361" s="124">
        <f>SUM(F361*D361)</f>
        <v>73.97</v>
      </c>
    </row>
    <row r="362" spans="2:7" ht="12.75">
      <c r="B362" t="s">
        <v>334</v>
      </c>
      <c r="D362">
        <v>0.033</v>
      </c>
      <c r="E362" t="s">
        <v>174</v>
      </c>
      <c r="F362" s="124">
        <f>SUM('[12]lista de materiales'!F11)</f>
        <v>37</v>
      </c>
      <c r="G362" s="124">
        <f>SUM(F362*D362)</f>
        <v>1.22</v>
      </c>
    </row>
    <row r="363" spans="2:7" ht="12.75">
      <c r="B363" t="s">
        <v>670</v>
      </c>
      <c r="E363" t="s">
        <v>335</v>
      </c>
      <c r="G363" s="124">
        <f>SUM(G360:G362)*1.05</f>
        <v>167.21</v>
      </c>
    </row>
    <row r="364" ht="12.75">
      <c r="G364" s="124"/>
    </row>
    <row r="365" ht="12.75">
      <c r="G365" s="124"/>
    </row>
    <row r="366" ht="12.75">
      <c r="G366" s="124"/>
    </row>
    <row r="367" ht="12.75">
      <c r="G367" s="124"/>
    </row>
    <row r="368" ht="12.75">
      <c r="B368" s="118" t="s">
        <v>336</v>
      </c>
    </row>
    <row r="369" ht="12.75">
      <c r="B369" t="s">
        <v>337</v>
      </c>
    </row>
    <row r="370" spans="2:7" ht="12.75">
      <c r="B370" t="s">
        <v>11</v>
      </c>
      <c r="D370">
        <v>11.51</v>
      </c>
      <c r="E370" t="s">
        <v>292</v>
      </c>
      <c r="F370" s="124">
        <f>SUM('[12]lista de materiales'!F7)</f>
        <v>250</v>
      </c>
      <c r="G370" s="124">
        <f>SUM(D370*F370)</f>
        <v>2877.5</v>
      </c>
    </row>
    <row r="371" spans="2:7" ht="12.75">
      <c r="B371" t="s">
        <v>699</v>
      </c>
      <c r="D371">
        <v>1</v>
      </c>
      <c r="E371" t="s">
        <v>98</v>
      </c>
      <c r="F371" s="124">
        <f>SUM('[12]lista de materiales'!F5)</f>
        <v>950</v>
      </c>
      <c r="G371" s="124">
        <f>SUM(D371*F371)</f>
        <v>950</v>
      </c>
    </row>
    <row r="372" spans="2:7" ht="12.75">
      <c r="B372" t="s">
        <v>180</v>
      </c>
      <c r="D372">
        <v>60</v>
      </c>
      <c r="E372" t="s">
        <v>160</v>
      </c>
      <c r="F372" s="124">
        <v>0.5</v>
      </c>
      <c r="G372" s="124">
        <f>SUM(D372*F372)</f>
        <v>30</v>
      </c>
    </row>
    <row r="373" spans="5:7" ht="12.75">
      <c r="E373" t="s">
        <v>338</v>
      </c>
      <c r="G373" s="151">
        <f>SUM(G370:G372)</f>
        <v>3857.5</v>
      </c>
    </row>
    <row r="374" spans="2:7" ht="12.75">
      <c r="B374" s="118" t="s">
        <v>391</v>
      </c>
      <c r="E374" s="122"/>
      <c r="F374" s="125"/>
      <c r="G374" s="150"/>
    </row>
    <row r="375" spans="2:7" ht="12.75">
      <c r="B375" t="s">
        <v>392</v>
      </c>
      <c r="D375" s="124">
        <v>1.05</v>
      </c>
      <c r="E375" s="122" t="s">
        <v>98</v>
      </c>
      <c r="F375" s="124">
        <f>+G312</f>
        <v>3205</v>
      </c>
      <c r="G375" s="158">
        <f aca="true" t="shared" si="9" ref="G375:G380">SUM(F375*D375)</f>
        <v>3365.25</v>
      </c>
    </row>
    <row r="376" spans="2:7" ht="12.75">
      <c r="B376" t="s">
        <v>393</v>
      </c>
      <c r="D376">
        <v>3.44</v>
      </c>
      <c r="E376" s="122" t="s">
        <v>307</v>
      </c>
      <c r="F376" s="124">
        <f>SUM('[12]lista de materiales'!F13)</f>
        <v>1450</v>
      </c>
      <c r="G376" s="158">
        <f t="shared" si="9"/>
        <v>4988</v>
      </c>
    </row>
    <row r="377" spans="2:7" ht="12.75">
      <c r="B377" t="s">
        <v>394</v>
      </c>
      <c r="D377">
        <v>3.657</v>
      </c>
      <c r="E377" s="122" t="s">
        <v>307</v>
      </c>
      <c r="F377" s="124">
        <f>SUM(F376)</f>
        <v>1450</v>
      </c>
      <c r="G377" s="158">
        <f t="shared" si="9"/>
        <v>5302.65</v>
      </c>
    </row>
    <row r="378" spans="2:7" ht="12.75">
      <c r="B378" t="s">
        <v>395</v>
      </c>
      <c r="D378">
        <v>7.097</v>
      </c>
      <c r="E378" s="122" t="s">
        <v>307</v>
      </c>
      <c r="F378" s="124">
        <v>153</v>
      </c>
      <c r="G378" s="158">
        <f t="shared" si="9"/>
        <v>1085.84</v>
      </c>
    </row>
    <row r="379" spans="2:7" ht="12.75">
      <c r="B379" t="s">
        <v>674</v>
      </c>
      <c r="D379">
        <f>SUM(D378*2)</f>
        <v>14.194</v>
      </c>
      <c r="E379" s="122" t="s">
        <v>396</v>
      </c>
      <c r="F379" s="124">
        <f>SUM('[12]lista de materiales'!F17)</f>
        <v>50</v>
      </c>
      <c r="G379" s="158">
        <f t="shared" si="9"/>
        <v>709.7</v>
      </c>
    </row>
    <row r="380" spans="2:7" ht="12.75">
      <c r="B380" t="s">
        <v>397</v>
      </c>
      <c r="D380">
        <v>6.67</v>
      </c>
      <c r="E380" s="122" t="s">
        <v>398</v>
      </c>
      <c r="F380" s="124">
        <v>200</v>
      </c>
      <c r="G380" s="158">
        <f t="shared" si="9"/>
        <v>1334</v>
      </c>
    </row>
    <row r="381" spans="5:7" ht="12.75">
      <c r="E381" s="122"/>
      <c r="F381" s="125" t="s">
        <v>399</v>
      </c>
      <c r="G381" s="59">
        <f>SUM(G375:G380)</f>
        <v>16785.44</v>
      </c>
    </row>
    <row r="382" ht="12.75">
      <c r="G382" s="151"/>
    </row>
    <row r="383" ht="12.75">
      <c r="G383" s="151"/>
    </row>
    <row r="384" ht="12.75">
      <c r="G384" s="151"/>
    </row>
    <row r="385" spans="2:7" ht="12.75">
      <c r="B385" s="118" t="s">
        <v>358</v>
      </c>
      <c r="G385" s="151"/>
    </row>
    <row r="386" spans="2:7" ht="12.75">
      <c r="B386" t="s">
        <v>225</v>
      </c>
      <c r="D386">
        <v>12.7</v>
      </c>
      <c r="E386" t="s">
        <v>691</v>
      </c>
      <c r="F386" s="124">
        <v>211.47</v>
      </c>
      <c r="G386" s="145">
        <f>SUM(F386*D386)</f>
        <v>2685.67</v>
      </c>
    </row>
    <row r="387" spans="2:7" ht="12.75">
      <c r="B387" t="s">
        <v>340</v>
      </c>
      <c r="D387" s="124">
        <f>0.2*12.7</f>
        <v>2.54</v>
      </c>
      <c r="E387" t="s">
        <v>164</v>
      </c>
      <c r="F387" s="124">
        <v>98.18</v>
      </c>
      <c r="G387" s="145">
        <f>D387*F387</f>
        <v>249.38</v>
      </c>
    </row>
    <row r="388" spans="2:7" ht="12.75">
      <c r="B388" t="s">
        <v>341</v>
      </c>
      <c r="D388" s="124">
        <f>+(12.7-2.54)*1.2</f>
        <v>12.19</v>
      </c>
      <c r="E388" t="s">
        <v>169</v>
      </c>
      <c r="F388" s="124">
        <v>213.4</v>
      </c>
      <c r="G388" s="145">
        <f>SUM(F388*D388)</f>
        <v>2601.35</v>
      </c>
    </row>
    <row r="389" spans="2:7" ht="12.75">
      <c r="B389" t="s">
        <v>400</v>
      </c>
      <c r="D389">
        <v>1.1205</v>
      </c>
      <c r="E389" t="s">
        <v>98</v>
      </c>
      <c r="F389" s="124">
        <f>G319</f>
        <v>6408.05</v>
      </c>
      <c r="G389" s="145">
        <f>SUM(F389*D389)</f>
        <v>7180.22</v>
      </c>
    </row>
    <row r="390" spans="2:7" ht="12.75">
      <c r="B390" t="s">
        <v>343</v>
      </c>
      <c r="D390">
        <v>1.1205</v>
      </c>
      <c r="E390" t="s">
        <v>98</v>
      </c>
      <c r="F390" s="148">
        <f>G337</f>
        <v>9999.18</v>
      </c>
      <c r="G390" s="145">
        <f>SUM(F390*D390)</f>
        <v>11204.08</v>
      </c>
    </row>
    <row r="391" spans="2:7" ht="12.75">
      <c r="B391" t="s">
        <v>401</v>
      </c>
      <c r="D391">
        <v>0.07</v>
      </c>
      <c r="E391" t="s">
        <v>402</v>
      </c>
      <c r="F391" s="148">
        <f>SUM(G381)</f>
        <v>16785.44</v>
      </c>
      <c r="G391" s="145">
        <f>SUM(D391*F391)</f>
        <v>1174.98</v>
      </c>
    </row>
    <row r="392" spans="2:7" ht="12.75">
      <c r="B392" t="s">
        <v>344</v>
      </c>
      <c r="D392">
        <v>15.82</v>
      </c>
      <c r="E392" t="s">
        <v>167</v>
      </c>
      <c r="F392" s="124">
        <f>G349</f>
        <v>722.37</v>
      </c>
      <c r="G392" s="145">
        <f>SUM(F392*D392)</f>
        <v>11427.89</v>
      </c>
    </row>
    <row r="393" spans="2:7" ht="12.75">
      <c r="B393" t="s">
        <v>345</v>
      </c>
      <c r="D393">
        <v>18.44</v>
      </c>
      <c r="E393" t="s">
        <v>673</v>
      </c>
      <c r="F393" s="124">
        <f>G363</f>
        <v>167.21</v>
      </c>
      <c r="G393" s="145">
        <f>SUM(F393*D393)</f>
        <v>3083.35</v>
      </c>
    </row>
    <row r="394" spans="2:7" ht="12.75">
      <c r="B394" t="s">
        <v>346</v>
      </c>
      <c r="D394">
        <v>2</v>
      </c>
      <c r="E394" t="s">
        <v>321</v>
      </c>
      <c r="F394" s="124">
        <f>2000*1.16*1.3</f>
        <v>3016</v>
      </c>
      <c r="G394" s="145">
        <f>SUM(F394*D394)</f>
        <v>6032</v>
      </c>
    </row>
    <row r="395" spans="2:7" ht="12.75">
      <c r="B395" t="s">
        <v>347</v>
      </c>
      <c r="D395">
        <v>2</v>
      </c>
      <c r="E395" t="s">
        <v>321</v>
      </c>
      <c r="F395" s="124">
        <f>5000*1.16*1.3</f>
        <v>7540</v>
      </c>
      <c r="G395" s="145">
        <f>SUM(F395*D395)</f>
        <v>15080</v>
      </c>
    </row>
    <row r="396" spans="2:7" ht="12.75">
      <c r="B396" t="s">
        <v>348</v>
      </c>
      <c r="G396" s="145">
        <f>2217*1.22</f>
        <v>2704.74</v>
      </c>
    </row>
    <row r="397" spans="2:7" ht="12.75">
      <c r="B397" t="s">
        <v>349</v>
      </c>
      <c r="G397" s="145">
        <f>425*2.5*2*1.3</f>
        <v>2762.5</v>
      </c>
    </row>
    <row r="398" spans="2:7" ht="12.75">
      <c r="B398" t="s">
        <v>350</v>
      </c>
      <c r="G398" s="145">
        <v>4200</v>
      </c>
    </row>
    <row r="399" ht="13.5" thickBot="1"/>
    <row r="400" spans="5:7" ht="13.5" thickBot="1">
      <c r="E400" s="118" t="s">
        <v>351</v>
      </c>
      <c r="G400" s="149">
        <f>SUM(G386:G398)</f>
        <v>70386.16</v>
      </c>
    </row>
    <row r="401" spans="5:7" ht="12.75">
      <c r="E401" s="118"/>
      <c r="G401" s="59"/>
    </row>
    <row r="402" spans="5:7" ht="12.75">
      <c r="E402" s="118"/>
      <c r="G402" s="59"/>
    </row>
    <row r="403" spans="2:7" ht="12.75">
      <c r="B403" s="152" t="s">
        <v>364</v>
      </c>
      <c r="G403" s="151"/>
    </row>
    <row r="404" spans="2:7" ht="12.75">
      <c r="B404" s="153" t="s">
        <v>360</v>
      </c>
      <c r="D404">
        <v>3.08</v>
      </c>
      <c r="E404" t="s">
        <v>691</v>
      </c>
      <c r="F404" s="124">
        <f>SUM(F386)</f>
        <v>211.47</v>
      </c>
      <c r="G404" s="145">
        <f aca="true" t="shared" si="10" ref="G404:G411">SUM(F404*D404)</f>
        <v>651.33</v>
      </c>
    </row>
    <row r="405" spans="2:7" ht="12.75">
      <c r="B405" t="s">
        <v>341</v>
      </c>
      <c r="D405" s="124">
        <v>4.62</v>
      </c>
      <c r="E405" t="s">
        <v>169</v>
      </c>
      <c r="F405" s="124">
        <f>SUM(F387)</f>
        <v>98.18</v>
      </c>
      <c r="G405" s="145">
        <f t="shared" si="10"/>
        <v>453.59</v>
      </c>
    </row>
    <row r="406" spans="2:7" ht="12.75">
      <c r="B406" t="s">
        <v>342</v>
      </c>
      <c r="D406">
        <v>0.22</v>
      </c>
      <c r="E406" t="s">
        <v>98</v>
      </c>
      <c r="F406" s="124">
        <f>SUM(F389)</f>
        <v>6408.05</v>
      </c>
      <c r="G406" s="145">
        <f t="shared" si="10"/>
        <v>1409.77</v>
      </c>
    </row>
    <row r="407" spans="2:7" ht="12.75">
      <c r="B407" t="s">
        <v>343</v>
      </c>
      <c r="D407">
        <v>0.39</v>
      </c>
      <c r="E407" t="s">
        <v>98</v>
      </c>
      <c r="F407" s="148">
        <f>SUM(F390)</f>
        <v>9999.18</v>
      </c>
      <c r="G407" s="145">
        <f t="shared" si="10"/>
        <v>3899.68</v>
      </c>
    </row>
    <row r="408" spans="2:7" ht="12.75">
      <c r="B408" t="s">
        <v>344</v>
      </c>
      <c r="D408">
        <v>8.96</v>
      </c>
      <c r="E408" t="s">
        <v>167</v>
      </c>
      <c r="F408" s="124">
        <f>SUM(F392)</f>
        <v>722.37</v>
      </c>
      <c r="G408" s="145">
        <f t="shared" si="10"/>
        <v>6472.44</v>
      </c>
    </row>
    <row r="409" spans="2:7" ht="12.75">
      <c r="B409" t="s">
        <v>345</v>
      </c>
      <c r="D409">
        <v>11.64</v>
      </c>
      <c r="E409" t="s">
        <v>673</v>
      </c>
      <c r="F409" s="124">
        <f>SUM(F393)</f>
        <v>167.21</v>
      </c>
      <c r="G409" s="145">
        <f t="shared" si="10"/>
        <v>1946.32</v>
      </c>
    </row>
    <row r="410" spans="2:7" ht="12.75">
      <c r="B410" t="s">
        <v>346</v>
      </c>
      <c r="D410">
        <v>1</v>
      </c>
      <c r="E410" t="s">
        <v>321</v>
      </c>
      <c r="F410" s="124">
        <f>2000*1.16*1.3</f>
        <v>3016</v>
      </c>
      <c r="G410" s="145">
        <f t="shared" si="10"/>
        <v>3016</v>
      </c>
    </row>
    <row r="411" spans="2:7" ht="12.75">
      <c r="B411" t="s">
        <v>347</v>
      </c>
      <c r="D411">
        <v>1</v>
      </c>
      <c r="E411" t="s">
        <v>321</v>
      </c>
      <c r="F411" s="124">
        <f>5000*1.16*1.3</f>
        <v>7540</v>
      </c>
      <c r="G411" s="145">
        <f t="shared" si="10"/>
        <v>7540</v>
      </c>
    </row>
    <row r="412" spans="2:7" ht="12.75">
      <c r="B412" t="s">
        <v>348</v>
      </c>
      <c r="G412" s="145">
        <f>2217*1.22</f>
        <v>2704.74</v>
      </c>
    </row>
    <row r="413" spans="2:7" ht="12.75">
      <c r="B413" t="s">
        <v>349</v>
      </c>
      <c r="G413" s="145">
        <v>2762.5</v>
      </c>
    </row>
    <row r="414" spans="2:7" ht="12.75">
      <c r="B414" t="s">
        <v>350</v>
      </c>
      <c r="G414" s="145">
        <v>4200</v>
      </c>
    </row>
    <row r="415" ht="13.5" thickBot="1"/>
    <row r="416" spans="5:7" ht="13.5" thickBot="1">
      <c r="E416" s="118" t="s">
        <v>351</v>
      </c>
      <c r="G416" s="149">
        <f>SUM(G404:G414)</f>
        <v>35056.37</v>
      </c>
    </row>
    <row r="417" spans="5:7" ht="12.75">
      <c r="E417" s="118"/>
      <c r="G417" s="59"/>
    </row>
    <row r="419" spans="2:7" ht="12.75">
      <c r="B419" s="118" t="s">
        <v>403</v>
      </c>
      <c r="F419" s="118"/>
      <c r="G419" s="154"/>
    </row>
    <row r="420" spans="2:7" ht="12.75">
      <c r="B420" t="s">
        <v>404</v>
      </c>
      <c r="D420">
        <v>0.11</v>
      </c>
      <c r="E420" t="s">
        <v>301</v>
      </c>
      <c r="F420" s="122">
        <v>776</v>
      </c>
      <c r="G420" s="155">
        <f>SUM(F420*D420)</f>
        <v>85.36</v>
      </c>
    </row>
    <row r="421" spans="2:7" ht="12.75">
      <c r="B421" t="s">
        <v>405</v>
      </c>
      <c r="D421">
        <v>1</v>
      </c>
      <c r="E421" t="s">
        <v>673</v>
      </c>
      <c r="F421" s="122">
        <v>3.25</v>
      </c>
      <c r="G421" s="155">
        <f>SUM(F421*D421)</f>
        <v>3.25</v>
      </c>
    </row>
    <row r="422" spans="2:7" ht="12.75">
      <c r="B422" t="s">
        <v>406</v>
      </c>
      <c r="D422">
        <v>1</v>
      </c>
      <c r="E422" t="s">
        <v>673</v>
      </c>
      <c r="F422" s="122">
        <v>14.25</v>
      </c>
      <c r="G422" s="155">
        <f>SUM(F422*D422)</f>
        <v>14.25</v>
      </c>
    </row>
    <row r="423" spans="2:7" ht="12.75">
      <c r="B423" t="s">
        <v>407</v>
      </c>
      <c r="D423">
        <v>1</v>
      </c>
      <c r="E423" t="s">
        <v>673</v>
      </c>
      <c r="F423" s="122">
        <v>12.57</v>
      </c>
      <c r="G423" s="155">
        <f>SUM(F423*D423)</f>
        <v>12.57</v>
      </c>
    </row>
    <row r="424" spans="6:7" ht="13.5" thickBot="1">
      <c r="F424" s="118"/>
      <c r="G424" s="154"/>
    </row>
    <row r="425" spans="6:7" ht="17.25" thickBot="1">
      <c r="F425" s="118" t="s">
        <v>323</v>
      </c>
      <c r="G425" s="159">
        <f>SUM(G420:G424)</f>
        <v>115.43</v>
      </c>
    </row>
    <row r="427" spans="2:7" ht="25.5">
      <c r="B427" s="160" t="s">
        <v>408</v>
      </c>
      <c r="C427" s="161"/>
      <c r="D427" s="162">
        <v>1</v>
      </c>
      <c r="E427" s="162" t="s">
        <v>673</v>
      </c>
      <c r="F427" s="162"/>
      <c r="G427" s="162"/>
    </row>
    <row r="428" spans="2:7" ht="12.75">
      <c r="B428" t="s">
        <v>409</v>
      </c>
      <c r="D428" s="148">
        <v>0.08</v>
      </c>
      <c r="E428" t="s">
        <v>402</v>
      </c>
      <c r="F428" s="148">
        <f>SUM('[12]lista de materiales'!F5)</f>
        <v>950</v>
      </c>
      <c r="G428" s="148">
        <f>D428*F428</f>
        <v>76</v>
      </c>
    </row>
    <row r="429" spans="2:7" ht="12.75">
      <c r="B429" t="s">
        <v>410</v>
      </c>
      <c r="D429" s="148">
        <v>56.1</v>
      </c>
      <c r="E429" t="s">
        <v>168</v>
      </c>
      <c r="F429" s="148">
        <v>17.13</v>
      </c>
      <c r="G429" s="148">
        <f>D429*F429</f>
        <v>960.99</v>
      </c>
    </row>
    <row r="430" spans="2:7" ht="12.75">
      <c r="B430" t="s">
        <v>411</v>
      </c>
      <c r="D430" s="148">
        <v>0.32</v>
      </c>
      <c r="E430" t="s">
        <v>174</v>
      </c>
      <c r="F430" s="148">
        <f>SUM('[12]lista de materiales'!F11)</f>
        <v>37</v>
      </c>
      <c r="G430" s="148">
        <f>D430*F430</f>
        <v>11.84</v>
      </c>
    </row>
    <row r="431" spans="2:7" ht="12.75">
      <c r="B431" t="s">
        <v>412</v>
      </c>
      <c r="D431" s="148">
        <v>0.08</v>
      </c>
      <c r="E431" t="s">
        <v>402</v>
      </c>
      <c r="F431" s="148">
        <v>98.18</v>
      </c>
      <c r="G431" s="148">
        <f>D431*F431</f>
        <v>7.85</v>
      </c>
    </row>
    <row r="432" spans="2:7" ht="12.75">
      <c r="B432" t="s">
        <v>413</v>
      </c>
      <c r="D432" s="163">
        <v>1</v>
      </c>
      <c r="E432" s="164" t="s">
        <v>673</v>
      </c>
      <c r="F432" s="163">
        <v>26.2</v>
      </c>
      <c r="G432" s="163">
        <f>D432*F432</f>
        <v>26.2</v>
      </c>
    </row>
    <row r="433" spans="6:7" ht="13.5" thickBot="1">
      <c r="F433" s="148"/>
      <c r="G433" s="148"/>
    </row>
    <row r="434" spans="4:7" ht="13.5" thickBot="1">
      <c r="D434" s="165"/>
      <c r="E434" s="166" t="s">
        <v>670</v>
      </c>
      <c r="F434" s="167" t="s">
        <v>414</v>
      </c>
      <c r="G434" s="168">
        <f>SUM(G428:G432)</f>
        <v>1082.88</v>
      </c>
    </row>
    <row r="437" ht="12.75">
      <c r="B437" s="118" t="s">
        <v>415</v>
      </c>
    </row>
    <row r="438" ht="12.75">
      <c r="B438" t="s">
        <v>416</v>
      </c>
    </row>
    <row r="439" spans="2:7" ht="12.75">
      <c r="B439" t="s">
        <v>86</v>
      </c>
      <c r="D439" t="s">
        <v>417</v>
      </c>
      <c r="E439" t="s">
        <v>100</v>
      </c>
      <c r="F439" t="s">
        <v>418</v>
      </c>
      <c r="G439" t="s">
        <v>419</v>
      </c>
    </row>
    <row r="440" ht="12.75">
      <c r="B440" t="s">
        <v>420</v>
      </c>
    </row>
    <row r="441" spans="2:7" ht="12.75">
      <c r="B441" t="s">
        <v>421</v>
      </c>
      <c r="D441" s="148">
        <v>8.01</v>
      </c>
      <c r="E441" s="148" t="s">
        <v>98</v>
      </c>
      <c r="F441" s="148">
        <v>211.47</v>
      </c>
      <c r="G441" s="148">
        <f aca="true" t="shared" si="11" ref="G441:G451">SUM(F441*D441)</f>
        <v>1693.87</v>
      </c>
    </row>
    <row r="442" spans="2:7" ht="12.75">
      <c r="B442" t="s">
        <v>422</v>
      </c>
      <c r="D442" s="148">
        <v>2.64</v>
      </c>
      <c r="E442" s="148" t="s">
        <v>98</v>
      </c>
      <c r="F442" s="148">
        <v>98.18</v>
      </c>
      <c r="G442" s="148">
        <f t="shared" si="11"/>
        <v>259.2</v>
      </c>
    </row>
    <row r="443" spans="2:7" ht="12.75">
      <c r="B443" t="s">
        <v>423</v>
      </c>
      <c r="D443" s="148">
        <v>6.35</v>
      </c>
      <c r="E443" s="148" t="s">
        <v>98</v>
      </c>
      <c r="F443" s="148">
        <v>213.4</v>
      </c>
      <c r="G443" s="148">
        <f t="shared" si="11"/>
        <v>1355.09</v>
      </c>
    </row>
    <row r="444" spans="2:7" ht="12.75">
      <c r="B444" t="s">
        <v>424</v>
      </c>
      <c r="D444" s="148">
        <v>1100</v>
      </c>
      <c r="E444" s="148" t="s">
        <v>100</v>
      </c>
      <c r="F444" s="148">
        <v>15</v>
      </c>
      <c r="G444" s="148">
        <f t="shared" si="11"/>
        <v>16500</v>
      </c>
    </row>
    <row r="445" spans="2:7" ht="12.75">
      <c r="B445" t="s">
        <v>425</v>
      </c>
      <c r="D445" s="148">
        <v>0.63</v>
      </c>
      <c r="E445" s="148" t="s">
        <v>98</v>
      </c>
      <c r="F445" s="148">
        <f>G478</f>
        <v>3805.8</v>
      </c>
      <c r="G445" s="148">
        <f t="shared" si="11"/>
        <v>2397.65</v>
      </c>
    </row>
    <row r="446" spans="2:7" ht="12.75">
      <c r="B446" t="s">
        <v>426</v>
      </c>
      <c r="D446" s="148">
        <v>1.13</v>
      </c>
      <c r="E446" s="148" t="s">
        <v>167</v>
      </c>
      <c r="F446" s="148">
        <f>SUM(G468)</f>
        <v>288.22</v>
      </c>
      <c r="G446" s="148">
        <f t="shared" si="11"/>
        <v>325.69</v>
      </c>
    </row>
    <row r="447" spans="2:7" ht="12.75">
      <c r="B447" t="s">
        <v>427</v>
      </c>
      <c r="D447" s="148">
        <v>1</v>
      </c>
      <c r="E447" s="148" t="s">
        <v>100</v>
      </c>
      <c r="F447" s="148">
        <f>5500*1.16</f>
        <v>6380</v>
      </c>
      <c r="G447" s="148">
        <f t="shared" si="11"/>
        <v>6380</v>
      </c>
    </row>
    <row r="448" spans="2:7" ht="12.75">
      <c r="B448" t="s">
        <v>337</v>
      </c>
      <c r="D448" s="148">
        <v>0.25</v>
      </c>
      <c r="E448" s="148" t="s">
        <v>98</v>
      </c>
      <c r="F448" s="148">
        <f>SUM(G461)</f>
        <v>4294.14</v>
      </c>
      <c r="G448" s="148">
        <f t="shared" si="11"/>
        <v>1073.54</v>
      </c>
    </row>
    <row r="449" spans="2:7" ht="12.75">
      <c r="B449" t="s">
        <v>181</v>
      </c>
      <c r="D449" s="148">
        <v>1</v>
      </c>
      <c r="E449" s="148" t="s">
        <v>100</v>
      </c>
      <c r="F449" s="148">
        <v>536.67</v>
      </c>
      <c r="G449" s="148">
        <f t="shared" si="11"/>
        <v>536.67</v>
      </c>
    </row>
    <row r="450" spans="2:7" ht="12.75">
      <c r="B450" t="s">
        <v>428</v>
      </c>
      <c r="D450" s="148">
        <v>1</v>
      </c>
      <c r="E450" s="148" t="s">
        <v>100</v>
      </c>
      <c r="F450" s="148">
        <v>50</v>
      </c>
      <c r="G450" s="148">
        <f t="shared" si="11"/>
        <v>50</v>
      </c>
    </row>
    <row r="451" spans="2:7" ht="13.5" thickBot="1">
      <c r="B451" t="s">
        <v>429</v>
      </c>
      <c r="D451" s="148">
        <v>4.71</v>
      </c>
      <c r="E451" s="148" t="s">
        <v>167</v>
      </c>
      <c r="F451" s="148">
        <v>14.81</v>
      </c>
      <c r="G451" s="148">
        <f t="shared" si="11"/>
        <v>69.76</v>
      </c>
    </row>
    <row r="452" spans="4:7" ht="13.5" thickBot="1">
      <c r="D452" s="148"/>
      <c r="E452" s="148"/>
      <c r="F452" s="151" t="s">
        <v>430</v>
      </c>
      <c r="G452" s="149">
        <f>SUM(G441:G451)</f>
        <v>30641.47</v>
      </c>
    </row>
    <row r="454" ht="12.75">
      <c r="B454" s="118" t="s">
        <v>431</v>
      </c>
    </row>
    <row r="455" ht="12.75">
      <c r="B455" s="118" t="s">
        <v>336</v>
      </c>
    </row>
    <row r="456" ht="12.75">
      <c r="B456" t="s">
        <v>337</v>
      </c>
    </row>
    <row r="457" spans="2:7" ht="12.75">
      <c r="B457" t="s">
        <v>11</v>
      </c>
      <c r="D457">
        <v>11.51</v>
      </c>
      <c r="E457" t="s">
        <v>292</v>
      </c>
      <c r="F457" s="124">
        <f>SUM('[12]lista de materiales'!F7)</f>
        <v>250</v>
      </c>
      <c r="G457" s="124">
        <f>SUM(D457*F457)</f>
        <v>2877.5</v>
      </c>
    </row>
    <row r="458" spans="2:7" ht="12.75">
      <c r="B458" t="s">
        <v>699</v>
      </c>
      <c r="D458">
        <v>1</v>
      </c>
      <c r="E458" t="s">
        <v>98</v>
      </c>
      <c r="F458" s="124">
        <f>SUM('[12]lista de materiales'!F5)</f>
        <v>950</v>
      </c>
      <c r="G458" s="124">
        <f>SUM(D458*F458)</f>
        <v>950</v>
      </c>
    </row>
    <row r="459" spans="2:7" ht="12.75">
      <c r="B459" t="s">
        <v>180</v>
      </c>
      <c r="D459">
        <v>60</v>
      </c>
      <c r="E459" t="s">
        <v>160</v>
      </c>
      <c r="F459" s="124">
        <v>0.5</v>
      </c>
      <c r="G459" s="124">
        <f>SUM(D459*F459)</f>
        <v>30</v>
      </c>
    </row>
    <row r="460" spans="2:7" ht="12.75">
      <c r="B460" t="s">
        <v>432</v>
      </c>
      <c r="D460">
        <v>1</v>
      </c>
      <c r="E460" t="s">
        <v>98</v>
      </c>
      <c r="F460" s="124">
        <v>232.16</v>
      </c>
      <c r="G460" s="124">
        <f>SUM(D460*F460)</f>
        <v>232.16</v>
      </c>
    </row>
    <row r="461" spans="5:7" ht="12.75">
      <c r="E461" t="s">
        <v>433</v>
      </c>
      <c r="G461" s="151">
        <f>SUM(G457:G460)*1.05</f>
        <v>4294.14</v>
      </c>
    </row>
    <row r="462" ht="12.75">
      <c r="G462" s="151"/>
    </row>
    <row r="463" spans="2:7" ht="12.75">
      <c r="B463" t="s">
        <v>434</v>
      </c>
      <c r="D463">
        <v>0.05</v>
      </c>
      <c r="E463" t="s">
        <v>402</v>
      </c>
      <c r="F463" s="124">
        <f>SUM(G461)</f>
        <v>4294.14</v>
      </c>
      <c r="G463" s="145">
        <f>SUM(F463*D463)</f>
        <v>214.71</v>
      </c>
    </row>
    <row r="464" spans="2:7" ht="12.75">
      <c r="B464" t="s">
        <v>435</v>
      </c>
      <c r="D464">
        <v>1</v>
      </c>
      <c r="E464" t="s">
        <v>673</v>
      </c>
      <c r="F464" s="124">
        <v>40.9</v>
      </c>
      <c r="G464" s="124">
        <f>SUM(F464*D464)</f>
        <v>40.9</v>
      </c>
    </row>
    <row r="465" spans="2:7" ht="12.75">
      <c r="B465" t="s">
        <v>436</v>
      </c>
      <c r="D465">
        <v>0.05</v>
      </c>
      <c r="E465" t="s">
        <v>402</v>
      </c>
      <c r="F465" s="124">
        <v>50</v>
      </c>
      <c r="G465" s="124">
        <f>SUM(F465*D465)</f>
        <v>2.5</v>
      </c>
    </row>
    <row r="466" spans="2:7" ht="12.75">
      <c r="B466" t="s">
        <v>437</v>
      </c>
      <c r="D466">
        <v>0.33</v>
      </c>
      <c r="E466" t="s">
        <v>438</v>
      </c>
      <c r="F466" s="124">
        <v>52.5</v>
      </c>
      <c r="G466" s="124">
        <f>SUM(F466*D466)</f>
        <v>17.33</v>
      </c>
    </row>
    <row r="467" spans="2:7" ht="13.5" thickBot="1">
      <c r="B467" t="s">
        <v>439</v>
      </c>
      <c r="D467">
        <v>5</v>
      </c>
      <c r="E467" t="s">
        <v>259</v>
      </c>
      <c r="F467" s="124">
        <f>SUM(G463+G464)</f>
        <v>255.61</v>
      </c>
      <c r="G467" s="124">
        <f>SUM(F467*D467)/100</f>
        <v>12.78</v>
      </c>
    </row>
    <row r="468" spans="6:7" ht="13.5" thickBot="1">
      <c r="F468" s="118" t="s">
        <v>323</v>
      </c>
      <c r="G468" s="146">
        <f>SUM(G463:G467)</f>
        <v>288.22</v>
      </c>
    </row>
    <row r="470" spans="2:4" ht="12.75">
      <c r="B470" s="118" t="s">
        <v>440</v>
      </c>
      <c r="C470" s="118"/>
      <c r="D470" s="118"/>
    </row>
    <row r="471" spans="3:7" ht="12.75">
      <c r="C471" t="s">
        <v>441</v>
      </c>
      <c r="D471" t="s">
        <v>671</v>
      </c>
      <c r="E471" t="s">
        <v>442</v>
      </c>
      <c r="F471" s="122" t="s">
        <v>672</v>
      </c>
      <c r="G471" s="158" t="s">
        <v>443</v>
      </c>
    </row>
    <row r="472" spans="3:7" ht="12.75">
      <c r="C472" t="s">
        <v>11</v>
      </c>
      <c r="D472">
        <v>7</v>
      </c>
      <c r="E472" t="s">
        <v>292</v>
      </c>
      <c r="F472" s="124">
        <f>SUM('[12]lista de materiales'!F7)</f>
        <v>250</v>
      </c>
      <c r="G472" s="124">
        <f>D472*F472</f>
        <v>1750</v>
      </c>
    </row>
    <row r="473" spans="3:7" ht="12.75">
      <c r="C473" t="s">
        <v>183</v>
      </c>
      <c r="D473">
        <v>1.5</v>
      </c>
      <c r="E473" t="s">
        <v>98</v>
      </c>
      <c r="F473" s="124">
        <f>SUM('[12]lista de materiales'!F3)</f>
        <v>950</v>
      </c>
      <c r="G473" s="124">
        <f>D473*F473</f>
        <v>1425</v>
      </c>
    </row>
    <row r="474" spans="3:7" ht="12.75">
      <c r="C474" t="s">
        <v>180</v>
      </c>
      <c r="D474" t="s">
        <v>670</v>
      </c>
      <c r="E474" t="s">
        <v>670</v>
      </c>
      <c r="F474" s="169" t="s">
        <v>670</v>
      </c>
      <c r="G474" s="124">
        <f>60*0.5</f>
        <v>30</v>
      </c>
    </row>
    <row r="475" spans="6:7" ht="12.75">
      <c r="F475" s="169"/>
      <c r="G475" s="124"/>
    </row>
    <row r="476" spans="3:7" ht="12.75">
      <c r="C476" t="s">
        <v>444</v>
      </c>
      <c r="F476" s="169"/>
      <c r="G476" s="124">
        <v>600.8</v>
      </c>
    </row>
    <row r="477" spans="6:7" ht="12.75">
      <c r="F477" s="169"/>
      <c r="G477" s="124"/>
    </row>
    <row r="478" spans="6:7" ht="12.75">
      <c r="F478" s="126" t="s">
        <v>445</v>
      </c>
      <c r="G478" s="150">
        <f>SUM(G472:G476)</f>
        <v>3805.8</v>
      </c>
    </row>
    <row r="479" spans="6:7" ht="12.75">
      <c r="F479" s="126"/>
      <c r="G479" s="170"/>
    </row>
    <row r="482" spans="2:7" ht="12.75">
      <c r="B482" s="118" t="s">
        <v>446</v>
      </c>
      <c r="C482" s="122"/>
      <c r="D482" s="122"/>
      <c r="E482" s="152"/>
      <c r="F482" s="122"/>
      <c r="G482" s="150"/>
    </row>
    <row r="483" spans="2:7" ht="12.75">
      <c r="B483" s="122" t="s">
        <v>447</v>
      </c>
      <c r="C483" s="122"/>
      <c r="D483" s="122">
        <v>4</v>
      </c>
      <c r="E483" s="171" t="s">
        <v>321</v>
      </c>
      <c r="F483" s="122">
        <f>1086.91*1.05</f>
        <v>1141.2555</v>
      </c>
      <c r="G483" s="150">
        <f>SUM(F483*D483)</f>
        <v>4565.02</v>
      </c>
    </row>
    <row r="484" spans="2:7" ht="12.75">
      <c r="B484" s="122" t="s">
        <v>448</v>
      </c>
      <c r="C484" s="122"/>
      <c r="D484" s="122">
        <v>1</v>
      </c>
      <c r="E484" s="171" t="s">
        <v>449</v>
      </c>
      <c r="F484" s="122">
        <v>600</v>
      </c>
      <c r="G484" s="150">
        <f>SUM(F484*D484)</f>
        <v>600</v>
      </c>
    </row>
    <row r="485" spans="2:7" ht="12.75">
      <c r="B485" s="122" t="s">
        <v>450</v>
      </c>
      <c r="C485" s="122"/>
      <c r="D485" s="122"/>
      <c r="E485" s="156"/>
      <c r="F485" s="122"/>
      <c r="G485" s="150"/>
    </row>
    <row r="486" spans="2:7" ht="12.75">
      <c r="B486" s="122" t="s">
        <v>451</v>
      </c>
      <c r="C486" s="122"/>
      <c r="D486" s="122">
        <v>4</v>
      </c>
      <c r="E486" s="171" t="s">
        <v>452</v>
      </c>
      <c r="F486" s="122">
        <v>830</v>
      </c>
      <c r="G486" s="150">
        <f>SUM(D486*F486)</f>
        <v>3320</v>
      </c>
    </row>
    <row r="487" spans="2:7" ht="12.75">
      <c r="B487" s="122" t="s">
        <v>453</v>
      </c>
      <c r="C487" s="122"/>
      <c r="D487" s="122">
        <v>1</v>
      </c>
      <c r="E487" s="171" t="s">
        <v>449</v>
      </c>
      <c r="F487" s="122">
        <f>SUM(G486*0.05)</f>
        <v>166</v>
      </c>
      <c r="G487" s="150">
        <f>SUM(D487*F487)</f>
        <v>166</v>
      </c>
    </row>
    <row r="488" spans="2:7" ht="12.75">
      <c r="B488" s="122"/>
      <c r="C488" s="122"/>
      <c r="D488" s="122"/>
      <c r="F488" s="171" t="s">
        <v>454</v>
      </c>
      <c r="G488" s="150">
        <f>SUM(G486:G487)</f>
        <v>3486</v>
      </c>
    </row>
    <row r="489" spans="2:7" ht="12.75">
      <c r="B489" s="122"/>
      <c r="C489" s="122"/>
      <c r="D489" s="122"/>
      <c r="F489" s="171" t="s">
        <v>455</v>
      </c>
      <c r="G489" s="150">
        <f>SUM(G488/0.5)</f>
        <v>6972</v>
      </c>
    </row>
    <row r="490" spans="2:7" ht="12.75">
      <c r="B490" s="122"/>
      <c r="C490" s="122"/>
      <c r="D490" s="122"/>
      <c r="F490" s="171" t="s">
        <v>456</v>
      </c>
      <c r="G490" s="150">
        <f>SUM(G483+G484+G489)</f>
        <v>12137.02</v>
      </c>
    </row>
    <row r="491" spans="2:7" ht="13.5" thickBot="1">
      <c r="B491" s="122"/>
      <c r="C491" s="122"/>
      <c r="D491" s="122"/>
      <c r="F491" s="171" t="s">
        <v>457</v>
      </c>
      <c r="G491" s="150"/>
    </row>
    <row r="492" spans="2:7" ht="13.5" thickBot="1">
      <c r="B492" s="122"/>
      <c r="C492" s="122"/>
      <c r="D492" s="122"/>
      <c r="F492" s="171" t="s">
        <v>458</v>
      </c>
      <c r="G492" s="168">
        <f>SUM(G490/9.7)</f>
        <v>1251.24</v>
      </c>
    </row>
    <row r="493" spans="6:7" ht="12.75">
      <c r="F493" s="171" t="s">
        <v>459</v>
      </c>
      <c r="G493">
        <f>SUM(G492/3.28)</f>
        <v>381.475609756098</v>
      </c>
    </row>
    <row r="494" ht="12.75">
      <c r="F494" s="171"/>
    </row>
    <row r="495" ht="12.75">
      <c r="F495" s="171"/>
    </row>
    <row r="496" spans="2:7" ht="12.75">
      <c r="B496" s="118" t="s">
        <v>460</v>
      </c>
      <c r="F496" s="118"/>
      <c r="G496" s="150"/>
    </row>
    <row r="497" spans="3:7" ht="12.75">
      <c r="C497" t="s">
        <v>461</v>
      </c>
      <c r="D497">
        <v>1</v>
      </c>
      <c r="E497" t="s">
        <v>398</v>
      </c>
      <c r="F497" s="147">
        <f>124*1.16/5.78</f>
        <v>24.89</v>
      </c>
      <c r="G497" s="158">
        <f>SUM(D497*F497)</f>
        <v>24.89</v>
      </c>
    </row>
    <row r="498" spans="3:7" ht="12.75">
      <c r="C498" t="s">
        <v>462</v>
      </c>
      <c r="D498">
        <v>1</v>
      </c>
      <c r="E498" t="s">
        <v>398</v>
      </c>
      <c r="F498" s="147">
        <f>2*1.825</f>
        <v>3.65</v>
      </c>
      <c r="G498" s="158">
        <f>SUM(F498*D498)</f>
        <v>3.65</v>
      </c>
    </row>
    <row r="499" spans="3:7" ht="13.5" thickBot="1">
      <c r="C499" t="s">
        <v>463</v>
      </c>
      <c r="D499">
        <v>1</v>
      </c>
      <c r="E499" t="s">
        <v>398</v>
      </c>
      <c r="F499" s="147">
        <f>SUM(G497*0.03)</f>
        <v>0.75</v>
      </c>
      <c r="G499" s="158">
        <f>SUM(F499*D499)</f>
        <v>0.75</v>
      </c>
    </row>
    <row r="500" spans="6:7" ht="13.5" thickBot="1">
      <c r="F500" s="118" t="s">
        <v>458</v>
      </c>
      <c r="G500" s="146">
        <f>SUM(G497:G499)</f>
        <v>29.29</v>
      </c>
    </row>
    <row r="501" spans="2:7" ht="12.75">
      <c r="B501" s="118" t="s">
        <v>464</v>
      </c>
      <c r="F501" s="118"/>
      <c r="G501" s="150"/>
    </row>
    <row r="502" spans="3:7" ht="12.75">
      <c r="C502" t="s">
        <v>465</v>
      </c>
      <c r="D502">
        <v>1</v>
      </c>
      <c r="E502" t="s">
        <v>398</v>
      </c>
      <c r="F502" s="147">
        <f>94*1.16/5.78</f>
        <v>18.87</v>
      </c>
      <c r="G502" s="158">
        <f>SUM(D502*F502)</f>
        <v>18.87</v>
      </c>
    </row>
    <row r="503" spans="3:7" ht="12.75">
      <c r="C503" t="s">
        <v>462</v>
      </c>
      <c r="D503">
        <v>1</v>
      </c>
      <c r="E503" t="s">
        <v>398</v>
      </c>
      <c r="F503" s="147">
        <f>2*1.825</f>
        <v>3.65</v>
      </c>
      <c r="G503" s="158">
        <f>SUM(F503*D503)</f>
        <v>3.65</v>
      </c>
    </row>
    <row r="504" spans="3:7" ht="13.5" thickBot="1">
      <c r="C504" t="s">
        <v>463</v>
      </c>
      <c r="D504">
        <v>1</v>
      </c>
      <c r="E504" t="s">
        <v>398</v>
      </c>
      <c r="F504" s="147">
        <f>SUM(G502*0.03)</f>
        <v>0.57</v>
      </c>
      <c r="G504" s="158">
        <f>SUM(F504*D504)</f>
        <v>0.57</v>
      </c>
    </row>
    <row r="505" spans="6:7" ht="13.5" thickBot="1">
      <c r="F505" s="118" t="s">
        <v>458</v>
      </c>
      <c r="G505" s="146">
        <f>SUM(G502:G504)</f>
        <v>23.09</v>
      </c>
    </row>
    <row r="506" spans="2:7" ht="12.75">
      <c r="B506" s="118" t="s">
        <v>466</v>
      </c>
      <c r="F506" s="118"/>
      <c r="G506" s="150"/>
    </row>
    <row r="507" spans="3:7" ht="12.75">
      <c r="C507" t="s">
        <v>467</v>
      </c>
      <c r="D507">
        <v>1</v>
      </c>
      <c r="E507" t="s">
        <v>398</v>
      </c>
      <c r="F507" s="147">
        <f>183*1.16/5.78</f>
        <v>36.73</v>
      </c>
      <c r="G507" s="158">
        <f>SUM(D507*F507)</f>
        <v>36.73</v>
      </c>
    </row>
    <row r="508" spans="3:7" ht="12.75">
      <c r="C508" t="s">
        <v>462</v>
      </c>
      <c r="D508">
        <v>1</v>
      </c>
      <c r="E508" t="s">
        <v>398</v>
      </c>
      <c r="F508" s="147">
        <f>4*1.825</f>
        <v>7.3</v>
      </c>
      <c r="G508" s="158">
        <f>SUM(F508*D508)</f>
        <v>7.3</v>
      </c>
    </row>
    <row r="509" spans="3:7" ht="13.5" thickBot="1">
      <c r="C509" t="s">
        <v>463</v>
      </c>
      <c r="D509">
        <v>1</v>
      </c>
      <c r="E509" t="s">
        <v>398</v>
      </c>
      <c r="F509" s="147">
        <f>SUM(G507*0.03)</f>
        <v>1.1</v>
      </c>
      <c r="G509" s="158">
        <f>SUM(F509*D509)</f>
        <v>1.1</v>
      </c>
    </row>
    <row r="510" spans="6:7" ht="13.5" thickBot="1">
      <c r="F510" s="118" t="s">
        <v>458</v>
      </c>
      <c r="G510" s="146">
        <f>SUM(G507:G509)</f>
        <v>45.13</v>
      </c>
    </row>
    <row r="511" spans="6:7" ht="12.75">
      <c r="F511" s="118"/>
      <c r="G511" s="150"/>
    </row>
    <row r="512" spans="6:7" ht="12.75">
      <c r="F512" s="118"/>
      <c r="G512" s="150"/>
    </row>
    <row r="513" spans="2:7" ht="12.75">
      <c r="B513" s="118" t="s">
        <v>468</v>
      </c>
      <c r="F513" s="118"/>
      <c r="G513" s="150"/>
    </row>
    <row r="514" spans="3:7" ht="12.75">
      <c r="C514" t="s">
        <v>469</v>
      </c>
      <c r="D514">
        <v>1</v>
      </c>
      <c r="E514" t="s">
        <v>398</v>
      </c>
      <c r="F514" s="147">
        <f>295*1.16/5.78</f>
        <v>59.2</v>
      </c>
      <c r="G514" s="158">
        <f>SUM(D514*F514)</f>
        <v>59.2</v>
      </c>
    </row>
    <row r="515" spans="3:7" ht="12.75">
      <c r="C515" t="s">
        <v>462</v>
      </c>
      <c r="D515">
        <v>1</v>
      </c>
      <c r="E515" t="s">
        <v>398</v>
      </c>
      <c r="F515" s="147">
        <f>5*1.825</f>
        <v>9.13</v>
      </c>
      <c r="G515" s="158">
        <f>SUM(F515*D515)</f>
        <v>9.13</v>
      </c>
    </row>
    <row r="516" spans="3:7" ht="13.5" thickBot="1">
      <c r="C516" t="s">
        <v>463</v>
      </c>
      <c r="D516">
        <v>1</v>
      </c>
      <c r="E516" t="s">
        <v>398</v>
      </c>
      <c r="F516" s="147">
        <f>SUM(G514*0.03)</f>
        <v>1.78</v>
      </c>
      <c r="G516" s="158">
        <f>SUM(F516*D516)</f>
        <v>1.78</v>
      </c>
    </row>
    <row r="517" spans="6:7" ht="13.5" thickBot="1">
      <c r="F517" s="118" t="s">
        <v>458</v>
      </c>
      <c r="G517" s="146">
        <f>SUM(G514:G516)</f>
        <v>70.11</v>
      </c>
    </row>
    <row r="518" spans="6:7" ht="12.75">
      <c r="F518" s="118"/>
      <c r="G518" s="150"/>
    </row>
    <row r="519" spans="2:7" ht="12.75">
      <c r="B519" s="118" t="s">
        <v>470</v>
      </c>
      <c r="F519" s="118"/>
      <c r="G519" s="150"/>
    </row>
    <row r="520" spans="3:7" ht="12.75">
      <c r="C520" t="s">
        <v>471</v>
      </c>
      <c r="D520">
        <v>1</v>
      </c>
      <c r="E520" t="s">
        <v>398</v>
      </c>
      <c r="F520" s="147">
        <f>395*1.16/5.78</f>
        <v>79.27</v>
      </c>
      <c r="G520" s="158">
        <f>SUM(D520*F520)</f>
        <v>79.27</v>
      </c>
    </row>
    <row r="521" spans="3:7" ht="12.75">
      <c r="C521" t="s">
        <v>462</v>
      </c>
      <c r="D521">
        <v>1</v>
      </c>
      <c r="E521" t="s">
        <v>398</v>
      </c>
      <c r="F521" s="147">
        <f>6*1.825</f>
        <v>10.95</v>
      </c>
      <c r="G521" s="158">
        <f>SUM(F521*D521)</f>
        <v>10.95</v>
      </c>
    </row>
    <row r="522" spans="3:7" ht="13.5" thickBot="1">
      <c r="C522" t="s">
        <v>463</v>
      </c>
      <c r="D522">
        <v>1</v>
      </c>
      <c r="E522" t="s">
        <v>398</v>
      </c>
      <c r="F522" s="147">
        <f>SUM(G520*0.03)</f>
        <v>2.38</v>
      </c>
      <c r="G522" s="158">
        <f>SUM(F522*D522)</f>
        <v>2.38</v>
      </c>
    </row>
    <row r="523" spans="6:7" ht="13.5" thickBot="1">
      <c r="F523" s="118" t="s">
        <v>458</v>
      </c>
      <c r="G523" s="146">
        <f>SUM(G520:G522)</f>
        <v>92.6</v>
      </c>
    </row>
    <row r="526" spans="2:7" ht="12.75">
      <c r="B526" s="118" t="s">
        <v>472</v>
      </c>
      <c r="F526" s="118"/>
      <c r="G526" s="150"/>
    </row>
    <row r="527" spans="3:7" ht="12.75">
      <c r="C527" t="s">
        <v>473</v>
      </c>
      <c r="D527">
        <v>1</v>
      </c>
      <c r="E527" t="s">
        <v>398</v>
      </c>
      <c r="F527" s="147">
        <v>5</v>
      </c>
      <c r="G527" s="158">
        <f>SUM(D527*F527)</f>
        <v>5</v>
      </c>
    </row>
    <row r="528" spans="3:7" ht="12.75">
      <c r="C528" t="s">
        <v>474</v>
      </c>
      <c r="D528">
        <v>1</v>
      </c>
      <c r="E528" t="s">
        <v>398</v>
      </c>
      <c r="F528" s="147">
        <f>1115.6/5.78</f>
        <v>193.01</v>
      </c>
      <c r="G528" s="158">
        <f>SUM(D528*F528)</f>
        <v>193.01</v>
      </c>
    </row>
    <row r="529" spans="3:7" ht="12.75">
      <c r="C529" t="s">
        <v>462</v>
      </c>
      <c r="D529">
        <v>1</v>
      </c>
      <c r="E529" t="s">
        <v>398</v>
      </c>
      <c r="F529" s="147">
        <v>20</v>
      </c>
      <c r="G529" s="158">
        <f>SUM(F529*D529)</f>
        <v>20</v>
      </c>
    </row>
    <row r="530" spans="3:7" ht="13.5" thickBot="1">
      <c r="C530" t="s">
        <v>463</v>
      </c>
      <c r="D530">
        <v>1</v>
      </c>
      <c r="E530" t="s">
        <v>398</v>
      </c>
      <c r="F530" s="147">
        <f>SUM(G528*0.02)</f>
        <v>3.86</v>
      </c>
      <c r="G530" s="158">
        <f>SUM(F530*D530)</f>
        <v>3.86</v>
      </c>
    </row>
    <row r="531" spans="6:7" ht="13.5" thickBot="1">
      <c r="F531" s="118" t="s">
        <v>458</v>
      </c>
      <c r="G531" s="146">
        <f>SUM(G527:G530)</f>
        <v>221.87</v>
      </c>
    </row>
    <row r="532" spans="2:7" ht="12.75">
      <c r="B532" s="118" t="s">
        <v>475</v>
      </c>
      <c r="F532" s="118"/>
      <c r="G532" s="150"/>
    </row>
    <row r="533" spans="3:7" ht="12.75">
      <c r="C533" t="s">
        <v>473</v>
      </c>
      <c r="D533">
        <v>1</v>
      </c>
      <c r="E533" t="s">
        <v>398</v>
      </c>
      <c r="F533" s="147">
        <v>5</v>
      </c>
      <c r="G533" s="158">
        <f>SUM(D533*F533)</f>
        <v>5</v>
      </c>
    </row>
    <row r="534" spans="3:7" ht="12.75">
      <c r="C534" t="s">
        <v>476</v>
      </c>
      <c r="D534">
        <v>1</v>
      </c>
      <c r="E534" t="s">
        <v>398</v>
      </c>
      <c r="F534" s="147">
        <f>1587.96/5.78</f>
        <v>274.73</v>
      </c>
      <c r="G534" s="158">
        <f>SUM(D534*F534)</f>
        <v>274.73</v>
      </c>
    </row>
    <row r="535" spans="3:7" ht="12.75">
      <c r="C535" t="s">
        <v>462</v>
      </c>
      <c r="D535">
        <v>1</v>
      </c>
      <c r="E535" t="s">
        <v>398</v>
      </c>
      <c r="F535" s="147">
        <v>30</v>
      </c>
      <c r="G535" s="158">
        <f>SUM(F535*D535)</f>
        <v>30</v>
      </c>
    </row>
    <row r="536" spans="3:7" ht="13.5" thickBot="1">
      <c r="C536" t="s">
        <v>463</v>
      </c>
      <c r="D536">
        <v>1</v>
      </c>
      <c r="E536" t="s">
        <v>398</v>
      </c>
      <c r="F536" s="147">
        <f>SUM(G534*0.02)</f>
        <v>5.49</v>
      </c>
      <c r="G536" s="158">
        <f>SUM(F536*D536)</f>
        <v>5.49</v>
      </c>
    </row>
    <row r="537" spans="6:7" ht="13.5" thickBot="1">
      <c r="F537" s="118" t="s">
        <v>458</v>
      </c>
      <c r="G537" s="146">
        <f>SUM(G533:G536)</f>
        <v>315.22</v>
      </c>
    </row>
    <row r="538" spans="6:7" ht="12.75">
      <c r="F538" s="118"/>
      <c r="G538" s="150"/>
    </row>
    <row r="539" spans="2:7" ht="12.75">
      <c r="B539" s="118" t="s">
        <v>477</v>
      </c>
      <c r="F539" s="118"/>
      <c r="G539" s="150"/>
    </row>
    <row r="540" spans="3:7" ht="12.75">
      <c r="C540" t="s">
        <v>473</v>
      </c>
      <c r="D540">
        <v>1</v>
      </c>
      <c r="E540" t="s">
        <v>398</v>
      </c>
      <c r="F540" s="147">
        <v>5</v>
      </c>
      <c r="G540" s="158">
        <f>SUM(D540*F540)</f>
        <v>5</v>
      </c>
    </row>
    <row r="541" spans="3:7" ht="12.75">
      <c r="C541" t="s">
        <v>478</v>
      </c>
      <c r="D541">
        <v>1</v>
      </c>
      <c r="E541" t="s">
        <v>398</v>
      </c>
      <c r="F541" s="147">
        <f>3108.1/5.78</f>
        <v>537.73</v>
      </c>
      <c r="G541" s="158">
        <f>SUM(D541*F541)</f>
        <v>537.73</v>
      </c>
    </row>
    <row r="542" spans="3:7" ht="12.75">
      <c r="C542" t="s">
        <v>462</v>
      </c>
      <c r="D542">
        <v>1</v>
      </c>
      <c r="E542" t="s">
        <v>398</v>
      </c>
      <c r="F542" s="147">
        <v>40</v>
      </c>
      <c r="G542" s="158">
        <f>SUM(F542*D542)</f>
        <v>40</v>
      </c>
    </row>
    <row r="543" spans="3:7" ht="13.5" thickBot="1">
      <c r="C543" t="s">
        <v>463</v>
      </c>
      <c r="D543">
        <v>1</v>
      </c>
      <c r="E543" t="s">
        <v>398</v>
      </c>
      <c r="F543" s="147">
        <f>SUM(G541*0.02)</f>
        <v>10.75</v>
      </c>
      <c r="G543" s="158">
        <f>SUM(F543*D543)</f>
        <v>10.75</v>
      </c>
    </row>
    <row r="544" spans="6:7" ht="13.5" thickBot="1">
      <c r="F544" s="118" t="s">
        <v>458</v>
      </c>
      <c r="G544" s="146">
        <f>SUM(G540:G543)</f>
        <v>593.48</v>
      </c>
    </row>
    <row r="545" spans="6:7" ht="12.75">
      <c r="F545" s="118"/>
      <c r="G545" s="150"/>
    </row>
    <row r="546" spans="2:7" ht="12.75">
      <c r="B546" s="172" t="s">
        <v>479</v>
      </c>
      <c r="D546" t="s">
        <v>670</v>
      </c>
      <c r="E546" t="s">
        <v>670</v>
      </c>
      <c r="F546" s="124" t="s">
        <v>670</v>
      </c>
      <c r="G546" s="124" t="s">
        <v>670</v>
      </c>
    </row>
    <row r="547" ht="12.75">
      <c r="B547" s="118" t="s">
        <v>670</v>
      </c>
    </row>
    <row r="548" spans="2:7" ht="12.75">
      <c r="B548" t="s">
        <v>480</v>
      </c>
      <c r="D548">
        <v>3.06</v>
      </c>
      <c r="E548" t="s">
        <v>402</v>
      </c>
      <c r="F548" s="124">
        <v>136.68</v>
      </c>
      <c r="G548" s="124">
        <f aca="true" t="shared" si="12" ref="G548:G557">SUM(F548*D548)</f>
        <v>418.24</v>
      </c>
    </row>
    <row r="549" spans="2:7" ht="12.75">
      <c r="B549" t="s">
        <v>481</v>
      </c>
      <c r="D549">
        <v>2.65</v>
      </c>
      <c r="E549" t="s">
        <v>402</v>
      </c>
      <c r="F549" s="124">
        <v>53.6</v>
      </c>
      <c r="G549" s="124">
        <f t="shared" si="12"/>
        <v>142.04</v>
      </c>
    </row>
    <row r="550" spans="2:7" ht="12.75">
      <c r="B550" t="s">
        <v>482</v>
      </c>
      <c r="D550">
        <v>0.36</v>
      </c>
      <c r="E550" t="s">
        <v>402</v>
      </c>
      <c r="F550" s="124">
        <v>813.8</v>
      </c>
      <c r="G550" s="124">
        <f t="shared" si="12"/>
        <v>292.97</v>
      </c>
    </row>
    <row r="551" spans="2:7" ht="12.75">
      <c r="B551" t="s">
        <v>483</v>
      </c>
      <c r="D551">
        <v>0.49</v>
      </c>
      <c r="E551" t="s">
        <v>402</v>
      </c>
      <c r="F551" s="124">
        <v>178</v>
      </c>
      <c r="G551" s="124">
        <f t="shared" si="12"/>
        <v>87.22</v>
      </c>
    </row>
    <row r="552" spans="2:7" ht="12.75">
      <c r="B552" t="s">
        <v>484</v>
      </c>
      <c r="D552">
        <v>6.1</v>
      </c>
      <c r="E552" t="s">
        <v>398</v>
      </c>
      <c r="F552" s="124">
        <f>825/5.78</f>
        <v>142.73</v>
      </c>
      <c r="G552" s="124">
        <f t="shared" si="12"/>
        <v>870.65</v>
      </c>
    </row>
    <row r="553" spans="2:8" ht="15.75">
      <c r="B553" t="s">
        <v>485</v>
      </c>
      <c r="D553">
        <v>1</v>
      </c>
      <c r="E553" t="s">
        <v>321</v>
      </c>
      <c r="F553" s="124">
        <v>1141.44</v>
      </c>
      <c r="G553" s="124">
        <f t="shared" si="12"/>
        <v>1141.44</v>
      </c>
      <c r="H553" s="173"/>
    </row>
    <row r="554" spans="2:8" ht="15.75">
      <c r="B554" t="s">
        <v>486</v>
      </c>
      <c r="D554">
        <v>1</v>
      </c>
      <c r="E554" t="s">
        <v>321</v>
      </c>
      <c r="F554" s="124">
        <v>330</v>
      </c>
      <c r="G554" s="124">
        <f t="shared" si="12"/>
        <v>330</v>
      </c>
      <c r="H554" s="173"/>
    </row>
    <row r="555" spans="2:8" ht="15.75">
      <c r="B555" t="s">
        <v>487</v>
      </c>
      <c r="D555">
        <v>1</v>
      </c>
      <c r="E555" t="s">
        <v>321</v>
      </c>
      <c r="F555" s="124">
        <v>93</v>
      </c>
      <c r="G555" s="124">
        <f t="shared" si="12"/>
        <v>93</v>
      </c>
      <c r="H555" s="173"/>
    </row>
    <row r="556" spans="2:8" ht="15.75">
      <c r="B556" t="s">
        <v>488</v>
      </c>
      <c r="D556">
        <v>1</v>
      </c>
      <c r="E556" t="s">
        <v>449</v>
      </c>
      <c r="F556">
        <v>350</v>
      </c>
      <c r="G556" s="124">
        <f t="shared" si="12"/>
        <v>350</v>
      </c>
      <c r="H556" s="173"/>
    </row>
    <row r="557" spans="2:8" ht="16.5" thickBot="1">
      <c r="B557" t="s">
        <v>489</v>
      </c>
      <c r="D557">
        <v>0.04</v>
      </c>
      <c r="E557" t="s">
        <v>321</v>
      </c>
      <c r="F557">
        <v>40</v>
      </c>
      <c r="G557" s="124">
        <f t="shared" si="12"/>
        <v>1.6</v>
      </c>
      <c r="H557" s="173"/>
    </row>
    <row r="558" spans="6:8" ht="16.5" thickBot="1">
      <c r="F558" s="118" t="s">
        <v>490</v>
      </c>
      <c r="G558" s="146">
        <f>SUM(G548:G557)</f>
        <v>3727.16</v>
      </c>
      <c r="H558" s="173"/>
    </row>
    <row r="559" spans="6:8" ht="15.75">
      <c r="F559" s="118"/>
      <c r="G559" s="150"/>
      <c r="H559" s="173"/>
    </row>
    <row r="560" spans="2:8" ht="15.75">
      <c r="B560" s="118" t="s">
        <v>491</v>
      </c>
      <c r="F560" s="118"/>
      <c r="G560" s="150"/>
      <c r="H560" s="173"/>
    </row>
    <row r="561" spans="3:8" ht="15.75">
      <c r="C561" t="s">
        <v>473</v>
      </c>
      <c r="D561">
        <v>1</v>
      </c>
      <c r="E561" t="s">
        <v>398</v>
      </c>
      <c r="F561" s="147">
        <v>15</v>
      </c>
      <c r="G561" s="158">
        <f>SUM(D561*F561)</f>
        <v>15</v>
      </c>
      <c r="H561" s="173"/>
    </row>
    <row r="562" spans="3:7" ht="12.75">
      <c r="C562" t="s">
        <v>492</v>
      </c>
      <c r="D562">
        <v>1</v>
      </c>
      <c r="E562" t="s">
        <v>398</v>
      </c>
      <c r="F562" s="147">
        <f>3098.02/5.78</f>
        <v>535.99</v>
      </c>
      <c r="G562" s="158">
        <f>SUM(D562*F562)</f>
        <v>535.99</v>
      </c>
    </row>
    <row r="563" spans="3:7" ht="12.75">
      <c r="C563" t="s">
        <v>462</v>
      </c>
      <c r="D563">
        <v>1</v>
      </c>
      <c r="E563" t="s">
        <v>398</v>
      </c>
      <c r="F563" s="147">
        <v>45</v>
      </c>
      <c r="G563" s="158">
        <f>SUM(F563*D563)</f>
        <v>45</v>
      </c>
    </row>
    <row r="564" spans="3:7" ht="13.5" thickBot="1">
      <c r="C564" t="s">
        <v>463</v>
      </c>
      <c r="D564">
        <v>1</v>
      </c>
      <c r="E564" t="s">
        <v>398</v>
      </c>
      <c r="F564" s="147">
        <f>SUM(G562*0.02)</f>
        <v>10.72</v>
      </c>
      <c r="G564" s="158">
        <f>SUM(F564*D564)</f>
        <v>10.72</v>
      </c>
    </row>
    <row r="565" spans="6:7" ht="13.5" thickBot="1">
      <c r="F565" s="118" t="s">
        <v>458</v>
      </c>
      <c r="G565" s="146">
        <f>SUM(G561:G564)</f>
        <v>606.71</v>
      </c>
    </row>
    <row r="566" spans="6:7" ht="12.75">
      <c r="F566" s="118"/>
      <c r="G566" s="150"/>
    </row>
    <row r="567" spans="6:7" ht="12.75">
      <c r="F567" s="118"/>
      <c r="G567" s="150"/>
    </row>
    <row r="568" spans="6:7" ht="12.75">
      <c r="F568" s="118"/>
      <c r="G568" s="150"/>
    </row>
    <row r="569" spans="2:7" ht="12.75">
      <c r="B569" s="118" t="s">
        <v>493</v>
      </c>
      <c r="F569" s="118"/>
      <c r="G569" s="150"/>
    </row>
    <row r="570" spans="3:7" ht="12.75">
      <c r="C570" t="s">
        <v>473</v>
      </c>
      <c r="D570">
        <v>1</v>
      </c>
      <c r="E570" t="s">
        <v>398</v>
      </c>
      <c r="F570" s="147">
        <v>15</v>
      </c>
      <c r="G570" s="158">
        <f>SUM(D570*F570)</f>
        <v>15</v>
      </c>
    </row>
    <row r="571" spans="3:7" ht="12.75">
      <c r="C571" t="s">
        <v>494</v>
      </c>
      <c r="D571">
        <v>1</v>
      </c>
      <c r="E571" t="s">
        <v>398</v>
      </c>
      <c r="F571" s="147">
        <f>6777.72/5.78</f>
        <v>1172.62</v>
      </c>
      <c r="G571" s="158">
        <f>SUM(D571*F571)</f>
        <v>1172.62</v>
      </c>
    </row>
    <row r="572" spans="3:8" ht="12.75">
      <c r="C572" t="s">
        <v>462</v>
      </c>
      <c r="D572">
        <v>1</v>
      </c>
      <c r="E572" t="s">
        <v>398</v>
      </c>
      <c r="F572" s="147">
        <v>55</v>
      </c>
      <c r="G572" s="158">
        <f>SUM(F572*D572)</f>
        <v>55</v>
      </c>
      <c r="H572" t="s">
        <v>670</v>
      </c>
    </row>
    <row r="573" spans="3:7" ht="13.5" thickBot="1">
      <c r="C573" t="s">
        <v>463</v>
      </c>
      <c r="D573">
        <v>1</v>
      </c>
      <c r="E573" t="s">
        <v>398</v>
      </c>
      <c r="F573" s="147">
        <f>SUM(G571*0.02)</f>
        <v>23.45</v>
      </c>
      <c r="G573" s="158">
        <f>SUM(F573*D573)</f>
        <v>23.45</v>
      </c>
    </row>
    <row r="574" spans="6:8" ht="16.5" thickBot="1">
      <c r="F574" s="118" t="s">
        <v>458</v>
      </c>
      <c r="G574" s="146">
        <f>SUM(G570:G573)</f>
        <v>1266.07</v>
      </c>
      <c r="H574" s="173"/>
    </row>
    <row r="575" ht="15.75">
      <c r="H575" s="173"/>
    </row>
    <row r="576" spans="2:7" ht="12.75">
      <c r="B576" s="166" t="s">
        <v>495</v>
      </c>
      <c r="F576" s="118"/>
      <c r="G576" s="150"/>
    </row>
    <row r="577" spans="2:7" ht="12.75">
      <c r="B577" t="s">
        <v>496</v>
      </c>
      <c r="F577" s="118"/>
      <c r="G577" s="150"/>
    </row>
    <row r="578" spans="2:7" ht="12.75">
      <c r="B578" t="s">
        <v>497</v>
      </c>
      <c r="F578" s="118"/>
      <c r="G578" s="150"/>
    </row>
    <row r="579" spans="6:7" ht="12.75">
      <c r="F579" s="118"/>
      <c r="G579" s="150"/>
    </row>
    <row r="580" spans="3:7" ht="12.75">
      <c r="C580" t="s">
        <v>498</v>
      </c>
      <c r="F580" s="118"/>
      <c r="G580" s="158">
        <f>64.8/8*35.5</f>
        <v>287.55</v>
      </c>
    </row>
    <row r="581" spans="6:7" ht="12.75">
      <c r="F581" s="118"/>
      <c r="G581" s="158"/>
    </row>
    <row r="582" spans="3:7" ht="12.75">
      <c r="C582" t="s">
        <v>499</v>
      </c>
      <c r="F582" s="118"/>
      <c r="G582" s="158">
        <f>SUM(G580*0.16)</f>
        <v>46.01</v>
      </c>
    </row>
    <row r="583" spans="6:7" ht="12.75">
      <c r="F583" s="118"/>
      <c r="G583" s="158"/>
    </row>
    <row r="584" spans="3:7" ht="12.75">
      <c r="C584" t="s">
        <v>500</v>
      </c>
      <c r="F584" s="118"/>
      <c r="G584" s="158">
        <f>0.04*13*120</f>
        <v>62.4</v>
      </c>
    </row>
    <row r="585" spans="6:7" ht="12.75">
      <c r="F585" s="118"/>
      <c r="G585" s="158"/>
    </row>
    <row r="586" spans="3:7" ht="12.75">
      <c r="C586" t="s">
        <v>501</v>
      </c>
      <c r="F586" s="118"/>
      <c r="G586" s="158">
        <f>SUM(G584*0.2)</f>
        <v>12.48</v>
      </c>
    </row>
    <row r="587" spans="6:8" ht="12.75">
      <c r="F587" s="118"/>
      <c r="G587" s="158"/>
      <c r="H587" t="s">
        <v>670</v>
      </c>
    </row>
    <row r="588" spans="3:7" ht="12.75">
      <c r="C588" t="s">
        <v>502</v>
      </c>
      <c r="F588" s="118"/>
      <c r="G588" s="158">
        <f>11310/23.83/8</f>
        <v>59.33</v>
      </c>
    </row>
    <row r="589" spans="6:7" ht="12.75">
      <c r="F589" s="118"/>
      <c r="G589" s="158"/>
    </row>
    <row r="590" spans="3:7" ht="12.75">
      <c r="C590" t="s">
        <v>503</v>
      </c>
      <c r="F590" s="118"/>
      <c r="G590" s="158">
        <f>3.63/8*35.5*2</f>
        <v>32.22</v>
      </c>
    </row>
    <row r="591" spans="6:7" ht="12.75">
      <c r="F591" s="118"/>
      <c r="G591" s="150"/>
    </row>
    <row r="592" spans="5:7" ht="12.75">
      <c r="E592" t="s">
        <v>504</v>
      </c>
      <c r="F592" s="118"/>
      <c r="G592" s="150">
        <f>SUM(G580:G590)</f>
        <v>499.99</v>
      </c>
    </row>
    <row r="593" spans="5:7" ht="13.5" thickBot="1">
      <c r="E593" t="s">
        <v>505</v>
      </c>
      <c r="F593" s="118"/>
      <c r="G593" s="150"/>
    </row>
    <row r="594" spans="5:7" ht="13.5" thickBot="1">
      <c r="E594" s="118" t="s">
        <v>506</v>
      </c>
      <c r="F594" s="118"/>
      <c r="G594" s="146">
        <f>SUM(G592/5)</f>
        <v>100</v>
      </c>
    </row>
    <row r="595" ht="12.75">
      <c r="B595" t="s">
        <v>507</v>
      </c>
    </row>
    <row r="597" ht="12.75">
      <c r="B597" s="118" t="s">
        <v>508</v>
      </c>
    </row>
    <row r="598" ht="12.75">
      <c r="B598" t="s">
        <v>509</v>
      </c>
    </row>
    <row r="600" ht="12.75">
      <c r="B600" t="s">
        <v>510</v>
      </c>
    </row>
    <row r="601" spans="2:7" ht="12.75">
      <c r="B601" t="s">
        <v>670</v>
      </c>
      <c r="C601" t="s">
        <v>6</v>
      </c>
      <c r="D601" s="124">
        <v>1.3</v>
      </c>
      <c r="E601" t="s">
        <v>402</v>
      </c>
      <c r="F601" s="124">
        <v>700</v>
      </c>
      <c r="G601" s="124">
        <v>910</v>
      </c>
    </row>
    <row r="602" spans="3:7" ht="12.75">
      <c r="C602" t="s">
        <v>11</v>
      </c>
      <c r="D602" s="124">
        <v>10</v>
      </c>
      <c r="E602" t="s">
        <v>329</v>
      </c>
      <c r="F602" s="124">
        <v>185</v>
      </c>
      <c r="G602" s="124">
        <v>1850</v>
      </c>
    </row>
    <row r="603" spans="3:7" ht="12.75">
      <c r="C603" t="s">
        <v>180</v>
      </c>
      <c r="D603" s="124">
        <v>60</v>
      </c>
      <c r="E603" t="s">
        <v>301</v>
      </c>
      <c r="F603" s="124">
        <v>0.5</v>
      </c>
      <c r="G603" s="124">
        <v>30</v>
      </c>
    </row>
    <row r="604" spans="6:7" ht="12.75">
      <c r="F604" t="s">
        <v>511</v>
      </c>
      <c r="G604" s="148">
        <v>2790</v>
      </c>
    </row>
    <row r="605" ht="12.75">
      <c r="B605" t="s">
        <v>512</v>
      </c>
    </row>
    <row r="606" spans="2:7" ht="12.75">
      <c r="B606" t="s">
        <v>513</v>
      </c>
      <c r="D606" s="124">
        <v>0.03</v>
      </c>
      <c r="E606" t="s">
        <v>402</v>
      </c>
      <c r="F606" s="124">
        <v>2114.28</v>
      </c>
      <c r="G606" s="124">
        <v>57.09</v>
      </c>
    </row>
    <row r="607" spans="2:7" ht="12.75">
      <c r="B607" t="s">
        <v>514</v>
      </c>
      <c r="D607">
        <v>1.5</v>
      </c>
      <c r="E607" t="s">
        <v>402</v>
      </c>
      <c r="F607" s="148">
        <v>2790</v>
      </c>
      <c r="G607" s="124">
        <v>4185</v>
      </c>
    </row>
    <row r="608" spans="2:7" ht="12.75">
      <c r="B608" t="s">
        <v>515</v>
      </c>
      <c r="D608">
        <v>10.93</v>
      </c>
      <c r="E608" t="s">
        <v>516</v>
      </c>
      <c r="F608" s="124">
        <v>39.19</v>
      </c>
      <c r="G608" s="124">
        <v>428.35</v>
      </c>
    </row>
    <row r="609" spans="2:7" ht="12.75">
      <c r="B609" t="s">
        <v>517</v>
      </c>
      <c r="D609" s="124">
        <v>15</v>
      </c>
      <c r="E609" t="s">
        <v>398</v>
      </c>
      <c r="F609" s="124">
        <v>100.62</v>
      </c>
      <c r="G609" s="124">
        <v>1509.3</v>
      </c>
    </row>
    <row r="610" spans="6:7" ht="12.75">
      <c r="F610" t="s">
        <v>518</v>
      </c>
      <c r="G610" s="148">
        <v>6179.73</v>
      </c>
    </row>
    <row r="611" spans="6:7" ht="13.5" thickBot="1">
      <c r="F611" t="s">
        <v>519</v>
      </c>
      <c r="G611" s="148"/>
    </row>
    <row r="612" spans="2:7" ht="13.5" thickBot="1">
      <c r="B612" t="s">
        <v>670</v>
      </c>
      <c r="F612" s="118" t="s">
        <v>520</v>
      </c>
      <c r="G612" s="146">
        <v>411.98</v>
      </c>
    </row>
    <row r="614" spans="2:7" ht="12.75">
      <c r="B614" s="118" t="s">
        <v>670</v>
      </c>
      <c r="G614" s="124"/>
    </row>
    <row r="615" spans="2:7" ht="12.75">
      <c r="B615" s="118" t="s">
        <v>521</v>
      </c>
      <c r="G615" s="124"/>
    </row>
    <row r="616" spans="3:7" ht="12.75">
      <c r="C616" t="s">
        <v>326</v>
      </c>
      <c r="D616">
        <v>0.61</v>
      </c>
      <c r="E616" t="s">
        <v>98</v>
      </c>
      <c r="F616" s="124">
        <v>600</v>
      </c>
      <c r="G616" s="124">
        <v>366</v>
      </c>
    </row>
    <row r="617" spans="3:7" ht="12.75">
      <c r="C617" t="s">
        <v>327</v>
      </c>
      <c r="D617">
        <v>7.76</v>
      </c>
      <c r="E617" t="s">
        <v>98</v>
      </c>
      <c r="F617" s="124">
        <v>185</v>
      </c>
      <c r="G617" s="124">
        <v>1435.6</v>
      </c>
    </row>
    <row r="618" spans="3:7" ht="12.75">
      <c r="C618" t="s">
        <v>522</v>
      </c>
      <c r="D618">
        <v>7.76</v>
      </c>
      <c r="E618" t="s">
        <v>363</v>
      </c>
      <c r="F618">
        <v>25</v>
      </c>
      <c r="G618" s="124">
        <v>194</v>
      </c>
    </row>
    <row r="619" spans="3:7" ht="12.75">
      <c r="C619" t="s">
        <v>180</v>
      </c>
      <c r="D619">
        <v>60</v>
      </c>
      <c r="E619" t="s">
        <v>301</v>
      </c>
      <c r="F619">
        <v>0.3</v>
      </c>
      <c r="G619" s="124">
        <v>18</v>
      </c>
    </row>
    <row r="620" spans="5:7" ht="12.75">
      <c r="E620" t="s">
        <v>330</v>
      </c>
      <c r="G620" s="124">
        <v>2114.28</v>
      </c>
    </row>
    <row r="623" spans="2:7" ht="12.75">
      <c r="B623" s="118" t="s">
        <v>523</v>
      </c>
      <c r="F623" s="118"/>
      <c r="G623" s="154"/>
    </row>
    <row r="624" spans="3:7" ht="12.75">
      <c r="C624" t="s">
        <v>524</v>
      </c>
      <c r="E624" s="122"/>
      <c r="G624" s="150"/>
    </row>
    <row r="625" spans="3:7" ht="12.75">
      <c r="C625" t="s">
        <v>525</v>
      </c>
      <c r="D625" t="s">
        <v>251</v>
      </c>
      <c r="E625" t="s">
        <v>100</v>
      </c>
      <c r="F625" t="s">
        <v>418</v>
      </c>
      <c r="G625" t="s">
        <v>419</v>
      </c>
    </row>
    <row r="626" spans="3:7" ht="12.75">
      <c r="C626" t="s">
        <v>526</v>
      </c>
      <c r="D626">
        <v>3</v>
      </c>
      <c r="E626" t="s">
        <v>527</v>
      </c>
      <c r="F626" s="124">
        <v>268</v>
      </c>
      <c r="G626" s="124">
        <f>SUM(D626*F626)</f>
        <v>804</v>
      </c>
    </row>
    <row r="627" spans="3:7" ht="12.75">
      <c r="C627" t="s">
        <v>528</v>
      </c>
      <c r="D627">
        <v>1</v>
      </c>
      <c r="E627" t="s">
        <v>100</v>
      </c>
      <c r="F627" s="124">
        <v>830</v>
      </c>
      <c r="G627" s="124">
        <f>SUM(D627*F627)</f>
        <v>830</v>
      </c>
    </row>
    <row r="628" spans="5:7" ht="12.75">
      <c r="E628" s="122" t="s">
        <v>194</v>
      </c>
      <c r="G628" s="158">
        <f>SUM(G626:G627)</f>
        <v>1634</v>
      </c>
    </row>
    <row r="629" ht="13.5" thickBot="1">
      <c r="E629" t="s">
        <v>529</v>
      </c>
    </row>
    <row r="630" spans="5:7" ht="13.5" thickBot="1">
      <c r="E630" t="s">
        <v>414</v>
      </c>
      <c r="G630" s="146">
        <f>G628/80</f>
        <v>20.43</v>
      </c>
    </row>
    <row r="633" ht="15.75">
      <c r="B633" s="174" t="s">
        <v>530</v>
      </c>
    </row>
    <row r="634" spans="2:7" ht="12.75">
      <c r="B634" s="120" t="s">
        <v>531</v>
      </c>
      <c r="C634" s="171"/>
      <c r="D634" s="119"/>
      <c r="E634" s="119"/>
      <c r="F634" s="175"/>
      <c r="G634" s="119"/>
    </row>
    <row r="635" spans="3:7" ht="15.75">
      <c r="C635" s="173"/>
      <c r="D635" s="173"/>
      <c r="E635" s="173" t="s">
        <v>532</v>
      </c>
      <c r="F635" s="173"/>
      <c r="G635" s="176">
        <v>10000</v>
      </c>
    </row>
    <row r="636" spans="3:7" ht="15.75">
      <c r="C636" s="173"/>
      <c r="D636" s="173"/>
      <c r="E636" s="173" t="s">
        <v>533</v>
      </c>
      <c r="F636" s="173"/>
      <c r="G636" s="176"/>
    </row>
    <row r="637" spans="3:7" ht="15.75">
      <c r="C637" s="173"/>
      <c r="D637" s="173"/>
      <c r="E637" s="173" t="s">
        <v>323</v>
      </c>
      <c r="F637" s="173"/>
      <c r="G637" s="177">
        <f>SUM(G635/194.63)</f>
        <v>51.38</v>
      </c>
    </row>
    <row r="638" spans="2:7" ht="15.75">
      <c r="B638" t="s">
        <v>534</v>
      </c>
      <c r="C638" s="173"/>
      <c r="D638" s="173"/>
      <c r="E638" s="173"/>
      <c r="F638" s="173"/>
      <c r="G638" s="177"/>
    </row>
    <row r="639" spans="3:7" ht="12.75">
      <c r="C639" t="s">
        <v>525</v>
      </c>
      <c r="D639" t="s">
        <v>251</v>
      </c>
      <c r="E639" t="s">
        <v>100</v>
      </c>
      <c r="F639" t="s">
        <v>418</v>
      </c>
      <c r="G639" t="s">
        <v>419</v>
      </c>
    </row>
    <row r="640" spans="3:7" ht="12.75">
      <c r="C640" t="s">
        <v>526</v>
      </c>
      <c r="D640">
        <v>3</v>
      </c>
      <c r="E640" t="s">
        <v>527</v>
      </c>
      <c r="F640" s="124">
        <v>268</v>
      </c>
      <c r="G640" s="124">
        <f>SUM(D640*F640)</f>
        <v>804</v>
      </c>
    </row>
    <row r="641" spans="3:7" ht="12.75">
      <c r="C641" t="s">
        <v>528</v>
      </c>
      <c r="D641">
        <v>1</v>
      </c>
      <c r="E641" t="s">
        <v>100</v>
      </c>
      <c r="F641" s="124">
        <v>830</v>
      </c>
      <c r="G641" s="124">
        <f>SUM(D641*F641)</f>
        <v>830</v>
      </c>
    </row>
    <row r="642" spans="5:7" ht="12.75">
      <c r="E642" s="122" t="s">
        <v>194</v>
      </c>
      <c r="G642" s="158">
        <f>SUM(G640:G641)</f>
        <v>1634</v>
      </c>
    </row>
    <row r="643" ht="12.75">
      <c r="E643" t="s">
        <v>535</v>
      </c>
    </row>
    <row r="644" spans="5:7" ht="12.75">
      <c r="E644" t="s">
        <v>414</v>
      </c>
      <c r="G644" s="150">
        <f>G642/40</f>
        <v>40.85</v>
      </c>
    </row>
    <row r="645" ht="13.5" thickBot="1"/>
    <row r="646" spans="5:7" ht="13.5" thickBot="1">
      <c r="E646" t="s">
        <v>414</v>
      </c>
      <c r="G646" s="146">
        <f>SUM(G637+G644)</f>
        <v>92.23</v>
      </c>
    </row>
    <row r="648" ht="12.75">
      <c r="B648" s="118" t="s">
        <v>536</v>
      </c>
    </row>
    <row r="649" spans="3:7" ht="12.75">
      <c r="C649" t="s">
        <v>537</v>
      </c>
      <c r="D649">
        <v>4</v>
      </c>
      <c r="E649" t="s">
        <v>538</v>
      </c>
      <c r="F649">
        <v>321.6</v>
      </c>
      <c r="G649">
        <f>SUM(F649*D649)</f>
        <v>1286.4</v>
      </c>
    </row>
    <row r="650" spans="3:7" ht="12.75">
      <c r="C650" t="s">
        <v>539</v>
      </c>
      <c r="D650">
        <v>1</v>
      </c>
      <c r="E650" t="s">
        <v>101</v>
      </c>
      <c r="F650">
        <v>35</v>
      </c>
      <c r="G650">
        <f>SUM(F650*D650)</f>
        <v>35</v>
      </c>
    </row>
    <row r="651" spans="6:7" ht="12.75">
      <c r="F651" t="s">
        <v>540</v>
      </c>
      <c r="G651">
        <f>SUM(G649:G650)</f>
        <v>1321.4</v>
      </c>
    </row>
    <row r="652" ht="13.5" thickBot="1">
      <c r="F652" t="s">
        <v>541</v>
      </c>
    </row>
    <row r="653" spans="6:7" ht="13.5" thickBot="1">
      <c r="F653" t="s">
        <v>542</v>
      </c>
      <c r="G653" s="178">
        <f>SUM(G651/16)</f>
        <v>82.59</v>
      </c>
    </row>
    <row r="655" spans="2:7" ht="12.75">
      <c r="B655" s="118" t="s">
        <v>543</v>
      </c>
      <c r="F655" s="118"/>
      <c r="G655" s="150"/>
    </row>
    <row r="656" spans="3:7" ht="12.75">
      <c r="C656" t="s">
        <v>473</v>
      </c>
      <c r="D656">
        <v>1</v>
      </c>
      <c r="E656" t="s">
        <v>398</v>
      </c>
      <c r="F656" s="147">
        <v>5</v>
      </c>
      <c r="G656" s="158">
        <f>SUM(D656*F656)</f>
        <v>5</v>
      </c>
    </row>
    <row r="657" spans="3:7" ht="12.75">
      <c r="C657" t="s">
        <v>476</v>
      </c>
      <c r="D657">
        <v>1</v>
      </c>
      <c r="E657" t="s">
        <v>398</v>
      </c>
      <c r="F657" s="179">
        <f>1687/5.78</f>
        <v>291.87</v>
      </c>
      <c r="G657" s="158">
        <f>SUM(D657*F657)</f>
        <v>291.87</v>
      </c>
    </row>
    <row r="658" spans="3:7" ht="12.75">
      <c r="C658" t="s">
        <v>462</v>
      </c>
      <c r="D658">
        <v>1</v>
      </c>
      <c r="E658" t="s">
        <v>398</v>
      </c>
      <c r="F658" s="147">
        <v>30</v>
      </c>
      <c r="G658" s="158">
        <f>SUM(F658*D658)</f>
        <v>30</v>
      </c>
    </row>
    <row r="659" spans="3:7" ht="13.5" thickBot="1">
      <c r="C659" t="s">
        <v>463</v>
      </c>
      <c r="D659">
        <v>1</v>
      </c>
      <c r="E659" t="s">
        <v>398</v>
      </c>
      <c r="F659" s="147">
        <f>SUM(G657*0.02)</f>
        <v>5.84</v>
      </c>
      <c r="G659" s="158">
        <f>SUM(F659*D659)</f>
        <v>5.84</v>
      </c>
    </row>
    <row r="660" spans="6:7" ht="13.5" thickBot="1">
      <c r="F660" s="118" t="s">
        <v>458</v>
      </c>
      <c r="G660" s="146">
        <f>SUM(G656:G659)</f>
        <v>332.71</v>
      </c>
    </row>
    <row r="661" spans="6:7" ht="12.75">
      <c r="F661" s="118"/>
      <c r="G661" s="150"/>
    </row>
    <row r="663" spans="2:7" ht="12.75">
      <c r="B663" s="118" t="s">
        <v>544</v>
      </c>
      <c r="F663" s="118"/>
      <c r="G663" s="150"/>
    </row>
    <row r="664" spans="3:7" ht="12.75">
      <c r="C664" t="s">
        <v>473</v>
      </c>
      <c r="D664">
        <v>1</v>
      </c>
      <c r="E664" t="s">
        <v>398</v>
      </c>
      <c r="F664" s="147">
        <v>15</v>
      </c>
      <c r="G664" s="158">
        <f>SUM(D664*F664)</f>
        <v>15</v>
      </c>
    </row>
    <row r="665" spans="3:7" ht="12.75">
      <c r="C665" t="s">
        <v>492</v>
      </c>
      <c r="D665">
        <v>1</v>
      </c>
      <c r="E665" t="s">
        <v>398</v>
      </c>
      <c r="F665" s="179">
        <f>5123/5.78</f>
        <v>886.33</v>
      </c>
      <c r="G665" s="158">
        <f>SUM(D665*F665)</f>
        <v>886.33</v>
      </c>
    </row>
    <row r="666" spans="3:7" ht="12.75">
      <c r="C666" t="s">
        <v>462</v>
      </c>
      <c r="D666">
        <v>1</v>
      </c>
      <c r="E666" t="s">
        <v>398</v>
      </c>
      <c r="F666" s="147">
        <v>45</v>
      </c>
      <c r="G666" s="158">
        <f>SUM(F666*D666)</f>
        <v>45</v>
      </c>
    </row>
    <row r="667" spans="3:7" ht="13.5" thickBot="1">
      <c r="C667" t="s">
        <v>463</v>
      </c>
      <c r="D667">
        <v>1</v>
      </c>
      <c r="E667" t="s">
        <v>398</v>
      </c>
      <c r="F667" s="147">
        <f>SUM(G665*0.02)</f>
        <v>17.73</v>
      </c>
      <c r="G667" s="158">
        <f>SUM(F667*D667)</f>
        <v>17.73</v>
      </c>
    </row>
    <row r="668" spans="6:7" ht="13.5" thickBot="1">
      <c r="F668" s="118" t="s">
        <v>458</v>
      </c>
      <c r="G668" s="146">
        <f>SUM(G664:G667)</f>
        <v>964.06</v>
      </c>
    </row>
    <row r="669" spans="6:7" ht="12.75">
      <c r="F669" s="118"/>
      <c r="G669" s="150"/>
    </row>
    <row r="670" spans="6:7" ht="12.75">
      <c r="F670" s="118"/>
      <c r="G670" s="150"/>
    </row>
    <row r="671" spans="6:7" ht="12.75">
      <c r="F671" s="118"/>
      <c r="G671" s="150"/>
    </row>
    <row r="672" spans="2:7" ht="12.75">
      <c r="B672" s="118" t="s">
        <v>545</v>
      </c>
      <c r="F672" s="118"/>
      <c r="G672" s="150"/>
    </row>
    <row r="673" spans="3:7" ht="12.75">
      <c r="C673" t="s">
        <v>473</v>
      </c>
      <c r="D673">
        <v>1</v>
      </c>
      <c r="E673" t="s">
        <v>398</v>
      </c>
      <c r="F673" s="147">
        <v>15</v>
      </c>
      <c r="G673" s="158">
        <f>SUM(D673*F673)</f>
        <v>15</v>
      </c>
    </row>
    <row r="674" spans="3:7" ht="12.75">
      <c r="C674" t="s">
        <v>494</v>
      </c>
      <c r="D674">
        <v>1</v>
      </c>
      <c r="E674" t="s">
        <v>398</v>
      </c>
      <c r="F674" s="179">
        <f>11465/5.78</f>
        <v>1983.56</v>
      </c>
      <c r="G674" s="158">
        <f>SUM(D674*F674)</f>
        <v>1983.56</v>
      </c>
    </row>
    <row r="675" spans="3:7" ht="12.75">
      <c r="C675" t="s">
        <v>462</v>
      </c>
      <c r="D675">
        <v>1</v>
      </c>
      <c r="E675" t="s">
        <v>398</v>
      </c>
      <c r="F675" s="147">
        <v>55</v>
      </c>
      <c r="G675" s="158">
        <f>SUM(F675*D675)</f>
        <v>55</v>
      </c>
    </row>
    <row r="676" spans="3:7" ht="13.5" thickBot="1">
      <c r="C676" t="s">
        <v>463</v>
      </c>
      <c r="D676">
        <v>1</v>
      </c>
      <c r="E676" t="s">
        <v>398</v>
      </c>
      <c r="F676" s="147">
        <f>SUM(G674*0.02)</f>
        <v>39.67</v>
      </c>
      <c r="G676" s="158">
        <f>SUM(F676*D676)</f>
        <v>39.67</v>
      </c>
    </row>
    <row r="677" spans="6:7" ht="13.5" thickBot="1">
      <c r="F677" s="118" t="s">
        <v>458</v>
      </c>
      <c r="G677" s="146">
        <f>SUM(G673:G676)</f>
        <v>2093.23</v>
      </c>
    </row>
    <row r="679" spans="2:7" ht="12.75">
      <c r="B679" s="118" t="s">
        <v>546</v>
      </c>
      <c r="E679" s="118"/>
      <c r="G679" s="150"/>
    </row>
    <row r="680" spans="2:7" ht="12.75">
      <c r="B680" s="118"/>
      <c r="E680" s="118"/>
      <c r="G680" s="150"/>
    </row>
    <row r="681" spans="2:3" ht="12.75">
      <c r="B681" s="118"/>
      <c r="C681" t="s">
        <v>547</v>
      </c>
    </row>
    <row r="682" spans="2:7" ht="12.75">
      <c r="B682" s="118"/>
      <c r="C682" t="s">
        <v>548</v>
      </c>
      <c r="F682" t="s">
        <v>549</v>
      </c>
      <c r="G682" s="124">
        <v>300</v>
      </c>
    </row>
    <row r="683" spans="3:7" ht="12.75">
      <c r="C683" t="s">
        <v>550</v>
      </c>
      <c r="G683">
        <f>11*8</f>
        <v>88</v>
      </c>
    </row>
    <row r="684" spans="6:7" ht="12.75">
      <c r="F684" t="s">
        <v>383</v>
      </c>
      <c r="G684" s="124">
        <f>SUM(G682:G683)</f>
        <v>388</v>
      </c>
    </row>
    <row r="685" ht="12.75">
      <c r="G685" s="180"/>
    </row>
    <row r="686" spans="3:7" ht="12.75">
      <c r="C686" t="s">
        <v>551</v>
      </c>
      <c r="D686">
        <v>10</v>
      </c>
      <c r="E686" t="s">
        <v>552</v>
      </c>
      <c r="F686">
        <f>321.6/8</f>
        <v>40.2</v>
      </c>
      <c r="G686" s="180">
        <f>SUM(D686*F686)</f>
        <v>402</v>
      </c>
    </row>
    <row r="687" spans="3:7" ht="12.75">
      <c r="C687" t="s">
        <v>539</v>
      </c>
      <c r="D687">
        <v>1</v>
      </c>
      <c r="E687" t="s">
        <v>101</v>
      </c>
      <c r="F687">
        <f>SUM(G686*0.05)</f>
        <v>20.1</v>
      </c>
      <c r="G687" s="180">
        <f>SUM(D687*F687)</f>
        <v>20.1</v>
      </c>
    </row>
    <row r="688" spans="5:7" ht="12.75">
      <c r="E688" t="s">
        <v>553</v>
      </c>
      <c r="G688" s="180">
        <f>SUM(G686:G687)/6</f>
        <v>70.35</v>
      </c>
    </row>
    <row r="689" spans="7:8" ht="15.75">
      <c r="G689" s="180"/>
      <c r="H689" s="181"/>
    </row>
    <row r="690" ht="13.5" thickBot="1">
      <c r="G690" s="180"/>
    </row>
    <row r="691" spans="6:7" ht="13.5" thickBot="1">
      <c r="F691" s="118" t="s">
        <v>383</v>
      </c>
      <c r="G691" s="146">
        <f>SUM(G684+G688)</f>
        <v>458.35</v>
      </c>
    </row>
    <row r="692" spans="2:7" ht="12.75">
      <c r="B692" s="118"/>
      <c r="E692" s="118"/>
      <c r="G692" s="150" t="s">
        <v>670</v>
      </c>
    </row>
    <row r="695" spans="2:7" ht="12.75">
      <c r="B695" s="118" t="s">
        <v>554</v>
      </c>
      <c r="E695" s="118"/>
      <c r="G695" s="150"/>
    </row>
    <row r="696" spans="3:7" ht="12.75">
      <c r="C696" t="s">
        <v>555</v>
      </c>
      <c r="E696" s="118"/>
      <c r="G696" s="150"/>
    </row>
    <row r="697" spans="3:7" ht="12.75">
      <c r="C697" t="s">
        <v>556</v>
      </c>
      <c r="E697" s="118"/>
      <c r="G697" s="158">
        <f>151.2*32.7/8</f>
        <v>618.03</v>
      </c>
    </row>
    <row r="698" spans="3:7" ht="12.75">
      <c r="C698" t="s">
        <v>557</v>
      </c>
      <c r="E698" s="118"/>
      <c r="G698" s="158">
        <f>766.8/8*2</f>
        <v>191.7</v>
      </c>
    </row>
    <row r="699" spans="3:7" ht="12.75">
      <c r="C699" t="s">
        <v>558</v>
      </c>
      <c r="E699" s="118"/>
      <c r="G699" s="158">
        <f>414/8*2</f>
        <v>103.5</v>
      </c>
    </row>
    <row r="700" spans="3:7" ht="12.75">
      <c r="C700" t="s">
        <v>559</v>
      </c>
      <c r="E700" s="118"/>
      <c r="G700" s="158">
        <f>321.6</f>
        <v>321.6</v>
      </c>
    </row>
    <row r="701" spans="3:7" ht="12.75">
      <c r="C701" s="153" t="s">
        <v>560</v>
      </c>
      <c r="E701" s="118"/>
      <c r="G701" s="158">
        <f>0.8*100*1.1*2</f>
        <v>176</v>
      </c>
    </row>
    <row r="702" spans="3:7" ht="12.75">
      <c r="C702" t="s">
        <v>561</v>
      </c>
      <c r="E702" s="118"/>
      <c r="G702" s="158">
        <f>3*2</f>
        <v>6</v>
      </c>
    </row>
    <row r="703" spans="5:7" ht="12.75">
      <c r="E703" s="118" t="s">
        <v>562</v>
      </c>
      <c r="G703" s="150">
        <f>SUM(G697:G702)</f>
        <v>1416.83</v>
      </c>
    </row>
    <row r="704" spans="5:7" ht="12.75">
      <c r="E704" s="118" t="s">
        <v>563</v>
      </c>
      <c r="G704" s="150"/>
    </row>
    <row r="705" spans="5:7" ht="13.5" thickBot="1">
      <c r="E705" t="s">
        <v>564</v>
      </c>
      <c r="G705" s="154"/>
    </row>
    <row r="706" spans="5:7" ht="13.5" thickBot="1">
      <c r="E706" s="152" t="s">
        <v>542</v>
      </c>
      <c r="G706" s="178">
        <f>G703/2.4</f>
        <v>590.35</v>
      </c>
    </row>
    <row r="708" spans="2:7" ht="12.75">
      <c r="B708" s="118" t="s">
        <v>565</v>
      </c>
      <c r="F708" s="118"/>
      <c r="G708" s="154"/>
    </row>
    <row r="709" spans="3:7" ht="12.75">
      <c r="C709" t="s">
        <v>566</v>
      </c>
      <c r="F709" s="122" t="s">
        <v>414</v>
      </c>
      <c r="G709" s="154">
        <v>65</v>
      </c>
    </row>
    <row r="710" spans="3:7" ht="12.75">
      <c r="C710" t="s">
        <v>567</v>
      </c>
      <c r="F710" s="122" t="s">
        <v>414</v>
      </c>
      <c r="G710" s="154">
        <f>12.5*5</f>
        <v>62.5</v>
      </c>
    </row>
    <row r="711" spans="3:7" ht="12.75">
      <c r="C711" t="s">
        <v>568</v>
      </c>
      <c r="F711" s="122"/>
      <c r="G711" s="155"/>
    </row>
    <row r="712" spans="3:7" ht="12.75">
      <c r="C712" t="s">
        <v>569</v>
      </c>
      <c r="D712">
        <v>2</v>
      </c>
      <c r="E712" t="s">
        <v>570</v>
      </c>
      <c r="F712" s="122">
        <v>321.6</v>
      </c>
      <c r="G712" s="155">
        <f>SUM(F712*D712)</f>
        <v>643.2</v>
      </c>
    </row>
    <row r="713" spans="6:7" ht="12.75">
      <c r="F713" t="s">
        <v>571</v>
      </c>
      <c r="G713" s="154"/>
    </row>
    <row r="714" spans="6:7" ht="13.5" thickBot="1">
      <c r="F714" s="122" t="s">
        <v>414</v>
      </c>
      <c r="G714" s="154">
        <f>SUM(G712/50)</f>
        <v>12.86</v>
      </c>
    </row>
    <row r="715" spans="6:7" ht="14.25" thickBot="1" thickTop="1">
      <c r="F715" s="118" t="s">
        <v>414</v>
      </c>
      <c r="G715" s="182">
        <f>SUM(G709+G710+G714)</f>
        <v>140.36</v>
      </c>
    </row>
    <row r="716" spans="6:7" ht="13.5" thickTop="1">
      <c r="F716" s="118"/>
      <c r="G716" s="154"/>
    </row>
    <row r="717" ht="13.5" thickBot="1"/>
    <row r="718" spans="2:7" ht="13.5" thickBot="1">
      <c r="B718" s="183"/>
      <c r="C718" s="184"/>
      <c r="D718" s="185"/>
      <c r="E718" s="184"/>
      <c r="F718" s="185"/>
      <c r="G718" s="186"/>
    </row>
    <row r="719" spans="2:7" ht="12.75">
      <c r="B719" s="806" t="s">
        <v>572</v>
      </c>
      <c r="C719" s="807"/>
      <c r="D719" s="808"/>
      <c r="E719" s="187" t="s">
        <v>573</v>
      </c>
      <c r="F719" s="188"/>
      <c r="G719" s="189"/>
    </row>
    <row r="720" spans="2:7" ht="12.75">
      <c r="B720" s="190"/>
      <c r="C720" s="191" t="s">
        <v>574</v>
      </c>
      <c r="D720" s="192"/>
      <c r="E720" s="193"/>
      <c r="F720" s="194"/>
      <c r="G720" s="195"/>
    </row>
    <row r="721" spans="2:7" ht="12.75">
      <c r="B721" s="190"/>
      <c r="C721" s="196" t="s">
        <v>575</v>
      </c>
      <c r="D721" s="194">
        <v>1</v>
      </c>
      <c r="E721" s="197" t="s">
        <v>576</v>
      </c>
      <c r="F721" s="194">
        <v>140</v>
      </c>
      <c r="G721" s="195">
        <f>D721*F721</f>
        <v>140</v>
      </c>
    </row>
    <row r="722" spans="2:7" ht="12.75">
      <c r="B722" s="190"/>
      <c r="C722" s="196" t="s">
        <v>577</v>
      </c>
      <c r="D722" s="194">
        <v>4.38</v>
      </c>
      <c r="E722" s="193" t="s">
        <v>578</v>
      </c>
      <c r="F722" s="194"/>
      <c r="G722" s="195"/>
    </row>
    <row r="723" spans="2:7" ht="12.75">
      <c r="B723" s="190"/>
      <c r="C723" s="196" t="s">
        <v>0</v>
      </c>
      <c r="D723" s="194">
        <v>5</v>
      </c>
      <c r="E723" s="197" t="s">
        <v>579</v>
      </c>
      <c r="F723" s="194" t="s">
        <v>580</v>
      </c>
      <c r="G723" s="195">
        <f>G738*0.05</f>
        <v>3.63</v>
      </c>
    </row>
    <row r="724" spans="2:7" ht="12.75">
      <c r="B724" s="190"/>
      <c r="C724" s="196" t="s">
        <v>82</v>
      </c>
      <c r="D724" s="194">
        <v>15.22</v>
      </c>
      <c r="E724" s="197" t="s">
        <v>96</v>
      </c>
      <c r="F724" s="194">
        <v>0.5</v>
      </c>
      <c r="G724" s="195">
        <f>+F724*D724</f>
        <v>7.61</v>
      </c>
    </row>
    <row r="725" spans="2:7" ht="12.75">
      <c r="B725" s="190"/>
      <c r="D725" s="198" t="s">
        <v>581</v>
      </c>
      <c r="E725" s="197"/>
      <c r="F725" s="194"/>
      <c r="G725" s="199">
        <f>(1.3*(G721/D722))+G723+G724</f>
        <v>52.79</v>
      </c>
    </row>
    <row r="726" spans="2:7" ht="12.75">
      <c r="B726" s="190"/>
      <c r="C726" s="196"/>
      <c r="D726" s="194"/>
      <c r="E726" s="197"/>
      <c r="F726" s="194"/>
      <c r="G726" s="195"/>
    </row>
    <row r="727" spans="2:7" ht="12.75">
      <c r="B727" s="190"/>
      <c r="C727" s="196"/>
      <c r="D727" s="194"/>
      <c r="E727" s="197"/>
      <c r="F727" s="194"/>
      <c r="G727" s="195"/>
    </row>
    <row r="728" spans="2:7" ht="12.75">
      <c r="B728" s="200"/>
      <c r="C728" s="191" t="s">
        <v>582</v>
      </c>
      <c r="D728" s="201"/>
      <c r="E728" s="197"/>
      <c r="F728" s="194"/>
      <c r="G728" s="195"/>
    </row>
    <row r="729" spans="2:7" ht="25.5">
      <c r="B729" s="202"/>
      <c r="C729" s="203" t="s">
        <v>583</v>
      </c>
      <c r="D729" s="204">
        <v>1.3</v>
      </c>
      <c r="E729" s="205" t="s">
        <v>98</v>
      </c>
      <c r="F729" s="204">
        <v>140</v>
      </c>
      <c r="G729" s="206">
        <f>D729*F729</f>
        <v>182</v>
      </c>
    </row>
    <row r="730" spans="2:7" ht="12.75">
      <c r="B730" s="200"/>
      <c r="C730" s="191"/>
      <c r="D730" s="201"/>
      <c r="E730" s="197"/>
      <c r="F730" s="194"/>
      <c r="G730" s="195"/>
    </row>
    <row r="731" spans="2:7" ht="12.75">
      <c r="B731" s="190"/>
      <c r="C731" s="207"/>
      <c r="D731" s="208"/>
      <c r="E731" s="197"/>
      <c r="F731" s="208"/>
      <c r="G731" s="209"/>
    </row>
    <row r="732" spans="2:7" ht="12.75">
      <c r="B732" s="190"/>
      <c r="C732" s="198" t="s">
        <v>584</v>
      </c>
      <c r="D732" s="192"/>
      <c r="E732" s="193"/>
      <c r="F732" s="194"/>
      <c r="G732" s="199">
        <f>SUM(G729:G731)</f>
        <v>182</v>
      </c>
    </row>
    <row r="733" spans="2:8" ht="12.75">
      <c r="B733" s="190"/>
      <c r="C733" s="196"/>
      <c r="D733" s="192"/>
      <c r="E733" s="193"/>
      <c r="F733" s="194"/>
      <c r="G733" s="195"/>
      <c r="H733" s="158"/>
    </row>
    <row r="734" spans="2:8" ht="12.75">
      <c r="B734" s="190"/>
      <c r="C734" s="191" t="s">
        <v>585</v>
      </c>
      <c r="D734" s="192"/>
      <c r="E734" s="193"/>
      <c r="F734" s="194"/>
      <c r="G734" s="195"/>
      <c r="H734" s="145"/>
    </row>
    <row r="735" spans="2:8" ht="12.75">
      <c r="B735" s="190"/>
      <c r="C735" s="210" t="s">
        <v>586</v>
      </c>
      <c r="D735" s="194">
        <v>4</v>
      </c>
      <c r="E735" s="193" t="s">
        <v>576</v>
      </c>
      <c r="F735" s="194">
        <v>41.88</v>
      </c>
      <c r="G735" s="195">
        <f>D735*F735</f>
        <v>167.52</v>
      </c>
      <c r="H735" s="145"/>
    </row>
    <row r="736" spans="2:8" ht="12.75">
      <c r="B736" s="190"/>
      <c r="C736" s="210" t="s">
        <v>706</v>
      </c>
      <c r="D736" s="194">
        <v>0</v>
      </c>
      <c r="E736" s="193" t="s">
        <v>576</v>
      </c>
      <c r="F736" s="211">
        <v>99.84</v>
      </c>
      <c r="G736" s="195">
        <f>D736*F736</f>
        <v>0</v>
      </c>
      <c r="H736" s="124"/>
    </row>
    <row r="737" spans="2:8" ht="13.5" thickBot="1">
      <c r="B737" s="190"/>
      <c r="C737" s="196" t="s">
        <v>577</v>
      </c>
      <c r="D737" s="194">
        <v>3</v>
      </c>
      <c r="E737" s="193" t="s">
        <v>578</v>
      </c>
      <c r="F737" s="194"/>
      <c r="G737" s="195"/>
      <c r="H737" s="124"/>
    </row>
    <row r="738" spans="2:8" ht="13.5" thickBot="1">
      <c r="B738" s="190"/>
      <c r="C738" s="198" t="s">
        <v>587</v>
      </c>
      <c r="D738" s="192"/>
      <c r="E738" s="193"/>
      <c r="F738" s="194"/>
      <c r="G738" s="199">
        <f>+(1.3*(G735+G736))/D737</f>
        <v>72.59</v>
      </c>
      <c r="H738" s="146"/>
    </row>
    <row r="739" spans="2:8" ht="13.5" thickBot="1">
      <c r="B739" s="190"/>
      <c r="C739" s="196"/>
      <c r="D739" s="192"/>
      <c r="E739" s="193"/>
      <c r="F739" s="194"/>
      <c r="G739" s="195"/>
      <c r="H739" s="150"/>
    </row>
    <row r="740" spans="2:8" ht="27" thickBot="1" thickTop="1">
      <c r="B740" s="212"/>
      <c r="C740" s="213" t="s">
        <v>588</v>
      </c>
      <c r="D740" s="214"/>
      <c r="E740" s="215"/>
      <c r="F740" s="214"/>
      <c r="G740" s="216">
        <f>+G738+G732+G725</f>
        <v>307.38</v>
      </c>
      <c r="H740" s="150"/>
    </row>
    <row r="741" ht="12.75">
      <c r="H741" s="150"/>
    </row>
    <row r="742" ht="15.75">
      <c r="H742" s="217"/>
    </row>
    <row r="743" ht="15.75">
      <c r="H743" s="217"/>
    </row>
    <row r="744" spans="2:8" ht="15.75">
      <c r="B744" s="152" t="s">
        <v>589</v>
      </c>
      <c r="H744" s="217"/>
    </row>
    <row r="745" spans="2:8" ht="15.75">
      <c r="B745" t="s">
        <v>701</v>
      </c>
      <c r="H745" s="217"/>
    </row>
    <row r="746" spans="2:8" ht="12.75">
      <c r="B746" t="s">
        <v>590</v>
      </c>
      <c r="G746" s="124">
        <f>343/5.5*34/8*1.16</f>
        <v>307.45</v>
      </c>
      <c r="H746" s="150"/>
    </row>
    <row r="747" spans="2:8" ht="12.75">
      <c r="B747" t="s">
        <v>591</v>
      </c>
      <c r="G747">
        <f>0.04*4*164</f>
        <v>26.24</v>
      </c>
      <c r="H747" s="150"/>
    </row>
    <row r="748" spans="2:8" ht="12.75">
      <c r="B748" t="s">
        <v>592</v>
      </c>
      <c r="G748">
        <f>0.2*G747</f>
        <v>5.248</v>
      </c>
      <c r="H748" s="150"/>
    </row>
    <row r="749" spans="6:8" ht="12.75">
      <c r="F749" t="s">
        <v>593</v>
      </c>
      <c r="G749" s="124">
        <f>SUM(G746:G748)</f>
        <v>338.94</v>
      </c>
      <c r="H749" s="150"/>
    </row>
    <row r="750" ht="12.75">
      <c r="H750" s="150"/>
    </row>
    <row r="751" spans="2:8" ht="12.75">
      <c r="B751" s="153" t="s">
        <v>594</v>
      </c>
      <c r="E751" t="s">
        <v>670</v>
      </c>
      <c r="F751" t="s">
        <v>670</v>
      </c>
      <c r="G751" s="124">
        <f>SUM(G749)</f>
        <v>338.94</v>
      </c>
      <c r="H751" s="150"/>
    </row>
    <row r="752" spans="2:8" ht="12.75">
      <c r="B752" s="153"/>
      <c r="F752" t="s">
        <v>595</v>
      </c>
      <c r="G752" s="125">
        <f>G751/4.38</f>
        <v>77.38</v>
      </c>
      <c r="H752" s="150"/>
    </row>
    <row r="753" spans="2:8" ht="12.75">
      <c r="B753" s="153" t="s">
        <v>596</v>
      </c>
      <c r="E753" t="s">
        <v>670</v>
      </c>
      <c r="F753" t="s">
        <v>670</v>
      </c>
      <c r="G753" s="125">
        <f>SUM(G758*0.035)</f>
        <v>0.96</v>
      </c>
      <c r="H753" s="150"/>
    </row>
    <row r="754" spans="6:8" ht="12.75">
      <c r="F754" s="122" t="s">
        <v>383</v>
      </c>
      <c r="G754" s="154">
        <f>SUM(G752:G753)</f>
        <v>78.34</v>
      </c>
      <c r="H754" s="158"/>
    </row>
    <row r="755" spans="2:8" ht="12.75">
      <c r="B755" s="152" t="s">
        <v>348</v>
      </c>
      <c r="F755" s="118"/>
      <c r="G755" s="154"/>
      <c r="H755" s="158"/>
    </row>
    <row r="756" spans="2:8" ht="12.75">
      <c r="B756" s="153" t="s">
        <v>597</v>
      </c>
      <c r="D756">
        <v>1</v>
      </c>
      <c r="E756" s="153" t="s">
        <v>452</v>
      </c>
      <c r="F756" s="122">
        <v>40.2</v>
      </c>
      <c r="G756" s="155">
        <f>SUM(F756*D756)</f>
        <v>40.2</v>
      </c>
      <c r="H756" s="158"/>
    </row>
    <row r="757" spans="2:8" ht="12.75">
      <c r="B757" s="218" t="s">
        <v>598</v>
      </c>
      <c r="D757">
        <v>2</v>
      </c>
      <c r="E757" s="153" t="s">
        <v>452</v>
      </c>
      <c r="F757" s="122">
        <f>321.6/8</f>
        <v>40.2</v>
      </c>
      <c r="G757" s="155">
        <f>SUM(F757*D757)</f>
        <v>80.4</v>
      </c>
      <c r="H757" s="158"/>
    </row>
    <row r="758" spans="6:8" ht="13.5" thickBot="1">
      <c r="F758" s="156" t="s">
        <v>595</v>
      </c>
      <c r="G758" s="154">
        <f>SUM(G756:G757)/4.38</f>
        <v>27.53</v>
      </c>
      <c r="H758" s="150"/>
    </row>
    <row r="759" spans="6:8" ht="13.5" thickBot="1">
      <c r="F759" s="118" t="s">
        <v>383</v>
      </c>
      <c r="G759" s="178">
        <f>SUM(G754+G758)</f>
        <v>105.87</v>
      </c>
      <c r="H759" s="150"/>
    </row>
    <row r="760" spans="6:8" ht="12.75">
      <c r="F760" s="118"/>
      <c r="G760" s="154"/>
      <c r="H760" s="150"/>
    </row>
    <row r="761" ht="12.75">
      <c r="H761" s="150"/>
    </row>
    <row r="762" spans="2:8" ht="12.75">
      <c r="B762" s="219" t="s">
        <v>599</v>
      </c>
      <c r="C762" s="220"/>
      <c r="D762" s="219"/>
      <c r="E762" s="221"/>
      <c r="F762" s="221"/>
      <c r="H762" s="150"/>
    </row>
    <row r="763" spans="3:8" ht="12.75">
      <c r="C763" s="222" t="s">
        <v>600</v>
      </c>
      <c r="D763" s="223">
        <v>0.008</v>
      </c>
      <c r="E763" s="224" t="s">
        <v>402</v>
      </c>
      <c r="F763" s="225">
        <f>+G774</f>
        <v>3862.02</v>
      </c>
      <c r="G763" s="226">
        <f>+F763*D763</f>
        <v>30.9</v>
      </c>
      <c r="H763" s="150"/>
    </row>
    <row r="764" spans="3:8" ht="12.75">
      <c r="C764" s="222" t="s">
        <v>601</v>
      </c>
      <c r="D764" s="227">
        <v>1</v>
      </c>
      <c r="E764" s="224" t="s">
        <v>398</v>
      </c>
      <c r="F764" s="225">
        <v>28.53</v>
      </c>
      <c r="G764" s="226">
        <f>+F764*D764</f>
        <v>28.53</v>
      </c>
      <c r="H764" s="150"/>
    </row>
    <row r="765" spans="3:8" ht="13.5" thickBot="1">
      <c r="C765" s="228" t="s">
        <v>602</v>
      </c>
      <c r="D765" s="223">
        <v>0.008</v>
      </c>
      <c r="E765" s="224" t="s">
        <v>402</v>
      </c>
      <c r="F765" s="229">
        <f>+(613.2+414)/30</f>
        <v>34.24</v>
      </c>
      <c r="G765" s="226">
        <f>+F765*D765</f>
        <v>0.27</v>
      </c>
      <c r="H765" s="158"/>
    </row>
    <row r="766" spans="3:8" ht="13.5" thickBot="1">
      <c r="C766" s="222"/>
      <c r="D766" s="222"/>
      <c r="E766" s="222"/>
      <c r="F766" s="118" t="s">
        <v>603</v>
      </c>
      <c r="G766" s="230">
        <f>SUM(G763:G765)</f>
        <v>59.7</v>
      </c>
      <c r="H766" s="158"/>
    </row>
    <row r="767" spans="3:8" ht="12.75">
      <c r="C767" s="231"/>
      <c r="D767" s="231"/>
      <c r="E767" s="232"/>
      <c r="F767" s="228"/>
      <c r="G767" s="228"/>
      <c r="H767" s="158"/>
    </row>
    <row r="768" spans="3:8" ht="12.75">
      <c r="C768" s="231"/>
      <c r="D768" s="231"/>
      <c r="E768" s="232"/>
      <c r="F768" s="228"/>
      <c r="G768" s="228"/>
      <c r="H768" s="150"/>
    </row>
    <row r="769" ht="12.75">
      <c r="H769" s="10"/>
    </row>
    <row r="770" spans="2:8" ht="12.75">
      <c r="B770" s="233" t="s">
        <v>600</v>
      </c>
      <c r="D770" s="234"/>
      <c r="E770" s="234"/>
      <c r="F770" s="234"/>
      <c r="G770" s="234"/>
      <c r="H770" s="10"/>
    </row>
    <row r="771" spans="3:8" ht="12.75">
      <c r="C771" s="234" t="s">
        <v>604</v>
      </c>
      <c r="D771" s="234">
        <v>11.51</v>
      </c>
      <c r="E771" s="234" t="s">
        <v>605</v>
      </c>
      <c r="F771" s="234">
        <f>SUM('[12]lista de materiales'!F7)</f>
        <v>250</v>
      </c>
      <c r="G771" s="234">
        <f>+F771*D771</f>
        <v>2877.5</v>
      </c>
      <c r="H771" s="150"/>
    </row>
    <row r="772" spans="3:8" ht="12.75">
      <c r="C772" s="234" t="s">
        <v>606</v>
      </c>
      <c r="D772" s="234">
        <v>1</v>
      </c>
      <c r="E772" s="234" t="s">
        <v>402</v>
      </c>
      <c r="F772" s="234">
        <f>SUM('[12]lista de materiales'!F5)</f>
        <v>950</v>
      </c>
      <c r="G772" s="234">
        <f>+F772*D772</f>
        <v>950</v>
      </c>
      <c r="H772" s="150"/>
    </row>
    <row r="773" spans="3:8" ht="12.75">
      <c r="C773" s="234" t="s">
        <v>607</v>
      </c>
      <c r="D773" s="234">
        <v>69.04</v>
      </c>
      <c r="E773" s="234" t="s">
        <v>160</v>
      </c>
      <c r="F773" s="234">
        <v>0.5</v>
      </c>
      <c r="G773" s="234">
        <f>+F773*D773</f>
        <v>34.52</v>
      </c>
      <c r="H773" s="158"/>
    </row>
    <row r="774" spans="3:8" ht="12.75">
      <c r="C774" s="234"/>
      <c r="D774" s="234"/>
      <c r="E774" s="234"/>
      <c r="F774" s="166" t="s">
        <v>383</v>
      </c>
      <c r="G774" s="154">
        <f>SUM(G771:G773)</f>
        <v>3862.02</v>
      </c>
      <c r="H774" s="170"/>
    </row>
    <row r="775" ht="12.75">
      <c r="H775" s="170"/>
    </row>
    <row r="776" spans="2:8" ht="12.75">
      <c r="B776" s="118"/>
      <c r="E776" s="118"/>
      <c r="G776" s="150"/>
      <c r="H776" s="170"/>
    </row>
    <row r="777" spans="2:8" ht="12.75">
      <c r="B777" s="118" t="s">
        <v>608</v>
      </c>
      <c r="E777" s="118"/>
      <c r="G777" s="150"/>
      <c r="H777" s="170"/>
    </row>
    <row r="778" spans="2:8" ht="12.75">
      <c r="B778" s="118"/>
      <c r="E778" s="118"/>
      <c r="G778" s="150"/>
      <c r="H778" s="170"/>
    </row>
    <row r="779" spans="2:8" ht="12.75">
      <c r="B779" s="118"/>
      <c r="C779" t="s">
        <v>547</v>
      </c>
      <c r="H779" s="170"/>
    </row>
    <row r="780" spans="2:8" ht="12.75">
      <c r="B780" s="118"/>
      <c r="C780" t="s">
        <v>548</v>
      </c>
      <c r="F780" t="s">
        <v>549</v>
      </c>
      <c r="G780" s="124">
        <v>90</v>
      </c>
      <c r="H780" s="158"/>
    </row>
    <row r="781" spans="3:8" ht="12.75">
      <c r="C781" t="s">
        <v>550</v>
      </c>
      <c r="G781">
        <v>512.72</v>
      </c>
      <c r="H781" s="150"/>
    </row>
    <row r="782" spans="6:8" ht="12.75">
      <c r="F782" t="s">
        <v>383</v>
      </c>
      <c r="G782" s="124">
        <f>SUM(G780:G781)</f>
        <v>602.72</v>
      </c>
      <c r="H782" s="150"/>
    </row>
    <row r="783" spans="3:8" ht="12.75">
      <c r="C783" t="s">
        <v>609</v>
      </c>
      <c r="H783" s="150"/>
    </row>
    <row r="784" ht="13.5" thickBot="1">
      <c r="H784" s="10"/>
    </row>
    <row r="785" spans="5:7" ht="13.5" thickBot="1">
      <c r="E785" t="s">
        <v>610</v>
      </c>
      <c r="G785" s="146">
        <f>SUM('[12]tarifa equipo'!H26/85)</f>
        <v>31.97</v>
      </c>
    </row>
    <row r="786" ht="12.75">
      <c r="E786" t="s">
        <v>611</v>
      </c>
    </row>
    <row r="787" ht="13.5" thickBot="1">
      <c r="C787" t="s">
        <v>612</v>
      </c>
    </row>
    <row r="788" spans="5:7" ht="13.5" thickBot="1">
      <c r="E788" t="s">
        <v>542</v>
      </c>
      <c r="G788" s="146">
        <f>SUM('[12]tarifa equipo'!H79)/85</f>
        <v>29.54</v>
      </c>
    </row>
    <row r="789" spans="5:7" ht="12.75">
      <c r="E789" t="s">
        <v>611</v>
      </c>
      <c r="G789" s="180"/>
    </row>
    <row r="790" ht="12.75">
      <c r="G790" s="180"/>
    </row>
    <row r="791" spans="3:7" ht="12.75">
      <c r="C791" t="s">
        <v>551</v>
      </c>
      <c r="D791">
        <v>10</v>
      </c>
      <c r="E791" t="s">
        <v>552</v>
      </c>
      <c r="F791">
        <f>321.6/8</f>
        <v>40.2</v>
      </c>
      <c r="G791" s="180">
        <f>SUM(D791*F791)</f>
        <v>402</v>
      </c>
    </row>
    <row r="792" spans="3:7" ht="12.75">
      <c r="C792" t="s">
        <v>539</v>
      </c>
      <c r="D792">
        <v>1</v>
      </c>
      <c r="E792" t="s">
        <v>101</v>
      </c>
      <c r="F792">
        <f>SUM(G791*0.05)</f>
        <v>20.1</v>
      </c>
      <c r="G792" s="180">
        <f>SUM(D792*F792)</f>
        <v>20.1</v>
      </c>
    </row>
    <row r="793" spans="5:7" ht="12.75">
      <c r="E793" t="s">
        <v>613</v>
      </c>
      <c r="G793" s="180">
        <f>SUM(G791:G792)/85</f>
        <v>4.966</v>
      </c>
    </row>
    <row r="794" ht="13.5" thickBot="1">
      <c r="G794" s="180"/>
    </row>
    <row r="795" spans="6:7" ht="13.5" thickBot="1">
      <c r="F795" s="118" t="s">
        <v>383</v>
      </c>
      <c r="G795" s="146">
        <f>SUM(G782+G785+G788+G793)</f>
        <v>669.2</v>
      </c>
    </row>
    <row r="796" spans="2:7" ht="12.75">
      <c r="B796" s="118"/>
      <c r="E796" s="118"/>
      <c r="G796" s="150"/>
    </row>
    <row r="797" spans="2:7" ht="12.75">
      <c r="B797" s="118" t="s">
        <v>546</v>
      </c>
      <c r="E797" s="118"/>
      <c r="G797" s="150"/>
    </row>
    <row r="798" spans="2:7" ht="12.75">
      <c r="B798" s="118"/>
      <c r="E798" s="118"/>
      <c r="G798" s="150"/>
    </row>
    <row r="799" spans="2:3" ht="12.75">
      <c r="B799" s="118"/>
      <c r="C799" t="s">
        <v>547</v>
      </c>
    </row>
    <row r="800" spans="2:7" ht="12.75">
      <c r="B800" s="118"/>
      <c r="C800" t="s">
        <v>548</v>
      </c>
      <c r="F800" t="s">
        <v>549</v>
      </c>
      <c r="G800" s="124">
        <v>90</v>
      </c>
    </row>
    <row r="801" spans="3:7" ht="12.75">
      <c r="C801" t="s">
        <v>550</v>
      </c>
      <c r="G801">
        <v>512.72</v>
      </c>
    </row>
    <row r="802" spans="6:7" ht="12.75">
      <c r="F802" t="s">
        <v>383</v>
      </c>
      <c r="G802" s="124">
        <f>SUM(G800:G801)</f>
        <v>602.72</v>
      </c>
    </row>
    <row r="803" ht="12.75">
      <c r="G803" s="180"/>
    </row>
    <row r="804" spans="3:7" ht="12.75">
      <c r="C804" t="s">
        <v>551</v>
      </c>
      <c r="D804">
        <v>10</v>
      </c>
      <c r="E804" t="s">
        <v>552</v>
      </c>
      <c r="F804">
        <f>321.6/8</f>
        <v>40.2</v>
      </c>
      <c r="G804" s="180">
        <f>SUM(D804*F804)</f>
        <v>402</v>
      </c>
    </row>
    <row r="805" spans="3:7" ht="12.75">
      <c r="C805" t="s">
        <v>539</v>
      </c>
      <c r="D805">
        <v>1</v>
      </c>
      <c r="E805" t="s">
        <v>101</v>
      </c>
      <c r="F805">
        <f>SUM(G804*0.05)</f>
        <v>20.1</v>
      </c>
      <c r="G805" s="180">
        <f>SUM(D805*F805)</f>
        <v>20.1</v>
      </c>
    </row>
    <row r="806" spans="5:7" ht="12.75">
      <c r="E806" t="s">
        <v>553</v>
      </c>
      <c r="G806" s="180">
        <f>SUM(G804:G805)/6</f>
        <v>70.35</v>
      </c>
    </row>
    <row r="807" ht="12.75">
      <c r="G807" s="180"/>
    </row>
    <row r="808" ht="13.5" thickBot="1">
      <c r="G808" s="180"/>
    </row>
    <row r="809" spans="6:7" ht="13.5" thickBot="1">
      <c r="F809" s="118" t="s">
        <v>383</v>
      </c>
      <c r="G809" s="146">
        <f>SUM(G802+G806)</f>
        <v>673.07</v>
      </c>
    </row>
    <row r="813" spans="2:7" ht="15.75">
      <c r="B813" s="174" t="s">
        <v>614</v>
      </c>
      <c r="F813" s="122"/>
      <c r="G813" s="124"/>
    </row>
    <row r="814" spans="2:7" ht="12.75">
      <c r="B814" t="s">
        <v>225</v>
      </c>
      <c r="D814">
        <f>5*1.5*0.1</f>
        <v>0.75</v>
      </c>
      <c r="E814" t="s">
        <v>691</v>
      </c>
      <c r="F814" s="124">
        <v>176.22</v>
      </c>
      <c r="G814" s="145">
        <v>132.17</v>
      </c>
    </row>
    <row r="815" spans="2:7" ht="12.75">
      <c r="B815" t="s">
        <v>341</v>
      </c>
      <c r="D815" s="124">
        <f>SUM(D814*1.2)</f>
        <v>0.9</v>
      </c>
      <c r="E815" t="s">
        <v>169</v>
      </c>
      <c r="F815" s="124">
        <v>196.73</v>
      </c>
      <c r="G815" s="145">
        <v>177.06</v>
      </c>
    </row>
    <row r="816" spans="5:7" ht="12.75">
      <c r="E816" s="122"/>
      <c r="F816" s="124" t="s">
        <v>383</v>
      </c>
      <c r="G816" s="124">
        <v>309.22</v>
      </c>
    </row>
    <row r="817" spans="5:7" ht="13.5" thickBot="1">
      <c r="E817" s="122"/>
      <c r="F817" s="124" t="s">
        <v>615</v>
      </c>
      <c r="G817" s="124"/>
    </row>
    <row r="818" spans="4:7" ht="13.5" thickBot="1">
      <c r="D818" s="118" t="s">
        <v>616</v>
      </c>
      <c r="G818" s="146">
        <v>20.61</v>
      </c>
    </row>
    <row r="819" spans="4:7" ht="12.75">
      <c r="D819" s="118"/>
      <c r="G819" s="150"/>
    </row>
    <row r="820" spans="4:7" ht="12.75">
      <c r="D820" s="118"/>
      <c r="G820" s="150"/>
    </row>
    <row r="821" spans="2:7" ht="12.75">
      <c r="B821" s="118" t="s">
        <v>617</v>
      </c>
      <c r="F821" s="118"/>
      <c r="G821" s="150"/>
    </row>
    <row r="822" spans="2:7" ht="15.75">
      <c r="B822" s="235" t="s">
        <v>618</v>
      </c>
      <c r="D822" s="236">
        <v>2</v>
      </c>
      <c r="E822" s="237" t="s">
        <v>619</v>
      </c>
      <c r="F822" s="217">
        <v>40</v>
      </c>
      <c r="G822" s="217">
        <v>80</v>
      </c>
    </row>
    <row r="823" spans="2:7" ht="15.75">
      <c r="B823" s="235" t="s">
        <v>620</v>
      </c>
      <c r="D823" s="236">
        <v>1</v>
      </c>
      <c r="E823" s="237" t="s">
        <v>619</v>
      </c>
      <c r="F823" s="217">
        <v>300</v>
      </c>
      <c r="G823" s="217">
        <v>300</v>
      </c>
    </row>
    <row r="824" spans="2:7" ht="15.75">
      <c r="B824" s="235" t="s">
        <v>621</v>
      </c>
      <c r="D824" s="236">
        <v>1</v>
      </c>
      <c r="E824" s="237" t="s">
        <v>398</v>
      </c>
      <c r="F824" s="118">
        <v>16.75</v>
      </c>
      <c r="G824" s="217">
        <v>16.75</v>
      </c>
    </row>
    <row r="825" spans="2:7" ht="15.75">
      <c r="B825" s="235" t="s">
        <v>622</v>
      </c>
      <c r="D825" s="236">
        <v>1</v>
      </c>
      <c r="E825" s="237" t="s">
        <v>449</v>
      </c>
      <c r="F825" s="118">
        <v>30</v>
      </c>
      <c r="G825" s="217">
        <v>30</v>
      </c>
    </row>
    <row r="826" spans="6:7" ht="13.5" thickBot="1">
      <c r="F826" s="118" t="s">
        <v>458</v>
      </c>
      <c r="G826" s="150">
        <v>426.75</v>
      </c>
    </row>
    <row r="827" spans="5:7" ht="16.5" thickBot="1">
      <c r="E827" s="237" t="s">
        <v>623</v>
      </c>
      <c r="G827" s="146">
        <v>447.36</v>
      </c>
    </row>
    <row r="828" spans="6:7" ht="12.75">
      <c r="F828" s="118"/>
      <c r="G828" s="150"/>
    </row>
    <row r="829" spans="6:7" ht="12.75">
      <c r="F829" s="118"/>
      <c r="G829" s="150"/>
    </row>
    <row r="830" spans="2:7" ht="12.75">
      <c r="B830" s="118" t="s">
        <v>624</v>
      </c>
      <c r="F830" s="118"/>
      <c r="G830" s="150"/>
    </row>
    <row r="831" spans="6:7" ht="12.75">
      <c r="F831" s="118"/>
      <c r="G831" s="150"/>
    </row>
    <row r="832" spans="2:7" ht="12.75">
      <c r="B832" t="s">
        <v>625</v>
      </c>
      <c r="D832">
        <v>1</v>
      </c>
      <c r="E832" t="s">
        <v>673</v>
      </c>
      <c r="F832" s="122">
        <v>60.33</v>
      </c>
      <c r="G832" s="150">
        <v>60.33</v>
      </c>
    </row>
    <row r="833" spans="6:7" ht="12.75">
      <c r="F833" s="122"/>
      <c r="G833" s="150"/>
    </row>
    <row r="834" spans="2:7" ht="12.75">
      <c r="B834" t="s">
        <v>626</v>
      </c>
      <c r="F834" s="122"/>
      <c r="G834" s="158" t="s">
        <v>670</v>
      </c>
    </row>
    <row r="835" spans="3:7" ht="12.75">
      <c r="C835" t="s">
        <v>627</v>
      </c>
      <c r="D835">
        <v>2</v>
      </c>
      <c r="E835" t="s">
        <v>628</v>
      </c>
      <c r="F835" s="122">
        <v>33.5</v>
      </c>
      <c r="G835" s="158">
        <v>67</v>
      </c>
    </row>
    <row r="836" spans="3:7" ht="12.75">
      <c r="C836" t="s">
        <v>629</v>
      </c>
      <c r="D836">
        <v>1</v>
      </c>
      <c r="E836" t="s">
        <v>449</v>
      </c>
      <c r="F836" s="122">
        <v>3.5</v>
      </c>
      <c r="G836" s="158">
        <v>3.5</v>
      </c>
    </row>
    <row r="837" spans="6:7" ht="12.75">
      <c r="F837" t="s">
        <v>593</v>
      </c>
      <c r="G837" s="158">
        <v>70.5</v>
      </c>
    </row>
    <row r="838" spans="6:7" ht="12.75">
      <c r="F838" t="s">
        <v>630</v>
      </c>
      <c r="G838" s="150"/>
    </row>
    <row r="839" spans="6:7" ht="12.75">
      <c r="F839" s="118" t="s">
        <v>458</v>
      </c>
      <c r="G839" s="150">
        <v>16.75</v>
      </c>
    </row>
    <row r="840" spans="6:7" ht="13.5" thickBot="1">
      <c r="F840" s="118"/>
      <c r="G840" s="150"/>
    </row>
    <row r="841" spans="6:7" ht="13.5" thickBot="1">
      <c r="F841" s="118" t="s">
        <v>631</v>
      </c>
      <c r="G841" s="146">
        <v>77.08</v>
      </c>
    </row>
    <row r="842" spans="6:7" ht="12.75">
      <c r="F842" s="118"/>
      <c r="G842" s="150"/>
    </row>
    <row r="843" spans="2:7" ht="12.75">
      <c r="B843" s="118" t="s">
        <v>632</v>
      </c>
      <c r="F843" s="118"/>
      <c r="G843" s="150"/>
    </row>
    <row r="844" spans="6:7" ht="12.75">
      <c r="F844" s="118"/>
      <c r="G844" s="150"/>
    </row>
    <row r="845" spans="3:7" ht="12.75">
      <c r="C845" t="s">
        <v>633</v>
      </c>
      <c r="F845" s="118"/>
      <c r="G845" s="158">
        <v>200</v>
      </c>
    </row>
    <row r="846" spans="3:7" ht="12.75">
      <c r="C846" t="s">
        <v>634</v>
      </c>
      <c r="F846" s="118"/>
      <c r="G846" s="158">
        <v>63.8</v>
      </c>
    </row>
    <row r="847" spans="3:7" ht="13.5" thickBot="1">
      <c r="C847" t="s">
        <v>635</v>
      </c>
      <c r="F847" s="118"/>
      <c r="G847" s="158">
        <v>75</v>
      </c>
    </row>
    <row r="848" spans="6:7" ht="13.5" thickBot="1">
      <c r="F848" s="118" t="s">
        <v>383</v>
      </c>
      <c r="G848" s="146">
        <v>338.8</v>
      </c>
    </row>
    <row r="849" ht="12.75">
      <c r="F849" t="s">
        <v>670</v>
      </c>
    </row>
    <row r="850" spans="6:7" ht="12.75">
      <c r="F850" t="s">
        <v>670</v>
      </c>
      <c r="G850" t="s">
        <v>670</v>
      </c>
    </row>
    <row r="851" spans="2:7" ht="12.75">
      <c r="B851" s="118" t="s">
        <v>636</v>
      </c>
      <c r="F851" s="118"/>
      <c r="G851" s="150"/>
    </row>
    <row r="852" spans="6:7" ht="12.75">
      <c r="F852" s="118"/>
      <c r="G852" s="150"/>
    </row>
    <row r="853" spans="3:7" ht="12.75">
      <c r="C853" t="s">
        <v>637</v>
      </c>
      <c r="F853" s="118" t="s">
        <v>670</v>
      </c>
      <c r="G853" s="158" t="s">
        <v>670</v>
      </c>
    </row>
    <row r="854" spans="3:7" ht="12.75">
      <c r="C854" t="s">
        <v>638</v>
      </c>
      <c r="G854" s="124">
        <v>150</v>
      </c>
    </row>
    <row r="855" spans="3:7" ht="12.75">
      <c r="C855" t="s">
        <v>639</v>
      </c>
      <c r="G855" s="124">
        <v>35.73</v>
      </c>
    </row>
    <row r="856" spans="3:7" ht="12.75">
      <c r="C856" t="s">
        <v>640</v>
      </c>
      <c r="G856" s="124">
        <v>27.8</v>
      </c>
    </row>
    <row r="857" spans="3:7" ht="12.75">
      <c r="C857" t="s">
        <v>641</v>
      </c>
      <c r="G857" s="124">
        <v>5.2</v>
      </c>
    </row>
    <row r="858" spans="3:7" ht="12.75">
      <c r="C858" t="s">
        <v>10</v>
      </c>
      <c r="D858">
        <v>15</v>
      </c>
      <c r="E858" t="s">
        <v>162</v>
      </c>
      <c r="F858">
        <v>7.5</v>
      </c>
      <c r="G858" s="124">
        <v>112.5</v>
      </c>
    </row>
    <row r="859" spans="6:7" ht="12.75">
      <c r="F859" t="s">
        <v>549</v>
      </c>
      <c r="G859" s="124">
        <v>331.23</v>
      </c>
    </row>
    <row r="860" spans="3:7" ht="12.75">
      <c r="C860" t="s">
        <v>642</v>
      </c>
      <c r="F860" s="118"/>
      <c r="G860" s="158">
        <v>63.8</v>
      </c>
    </row>
    <row r="861" spans="6:7" ht="12.75">
      <c r="F861" s="118" t="s">
        <v>511</v>
      </c>
      <c r="G861" s="150">
        <v>395.03</v>
      </c>
    </row>
    <row r="862" spans="6:7" ht="13.5" thickBot="1">
      <c r="F862" s="118" t="s">
        <v>643</v>
      </c>
      <c r="G862" s="150"/>
    </row>
    <row r="863" spans="6:7" ht="13.5" thickBot="1">
      <c r="F863" s="118" t="s">
        <v>323</v>
      </c>
      <c r="G863" s="146">
        <v>79.01</v>
      </c>
    </row>
    <row r="864" spans="6:7" ht="12.75">
      <c r="F864" s="118" t="s">
        <v>603</v>
      </c>
      <c r="G864">
        <v>15.8012</v>
      </c>
    </row>
    <row r="866" spans="2:6" ht="12.75">
      <c r="B866" s="238" t="s">
        <v>644</v>
      </c>
      <c r="C866" s="239"/>
      <c r="D866" s="238" t="s">
        <v>670</v>
      </c>
      <c r="E866" s="240"/>
      <c r="F866" s="239"/>
    </row>
    <row r="867" spans="3:7" ht="12.75">
      <c r="C867" t="s">
        <v>645</v>
      </c>
      <c r="D867" s="148">
        <v>0.01</v>
      </c>
      <c r="E867" t="s">
        <v>402</v>
      </c>
      <c r="F867" s="241">
        <f>SUM(G879)</f>
        <v>4059.8</v>
      </c>
      <c r="G867" s="145">
        <f>D867*F867</f>
        <v>40.6</v>
      </c>
    </row>
    <row r="868" spans="3:7" ht="12.75">
      <c r="C868" t="s">
        <v>435</v>
      </c>
      <c r="D868" s="148">
        <v>1</v>
      </c>
      <c r="E868" t="s">
        <v>673</v>
      </c>
      <c r="F868" s="241">
        <v>11.11</v>
      </c>
      <c r="G868" s="145">
        <f>D868*F868</f>
        <v>11.11</v>
      </c>
    </row>
    <row r="869" spans="3:7" ht="12.75">
      <c r="C869" t="s">
        <v>646</v>
      </c>
      <c r="D869" s="148">
        <v>1</v>
      </c>
      <c r="E869" t="s">
        <v>321</v>
      </c>
      <c r="F869" s="241">
        <v>10</v>
      </c>
      <c r="G869" s="145">
        <f>SUM(F869*D869)</f>
        <v>10</v>
      </c>
    </row>
    <row r="870" spans="3:7" ht="15.75">
      <c r="C870" s="242" t="s">
        <v>647</v>
      </c>
      <c r="D870" s="238"/>
      <c r="E870" s="238"/>
      <c r="F870" s="243" t="s">
        <v>648</v>
      </c>
      <c r="G870" s="239">
        <f>SUM(G867:G869)</f>
        <v>61.71</v>
      </c>
    </row>
    <row r="871" spans="3:7" ht="12.75">
      <c r="C871" s="242"/>
      <c r="D871" s="238"/>
      <c r="E871" s="238"/>
      <c r="F871" s="239"/>
      <c r="G871" s="239"/>
    </row>
    <row r="874" spans="2:7" ht="12.75">
      <c r="B874" s="166" t="s">
        <v>645</v>
      </c>
      <c r="D874" s="165" t="s">
        <v>670</v>
      </c>
      <c r="E874" s="244" t="s">
        <v>670</v>
      </c>
      <c r="F874" s="161"/>
      <c r="G874" s="245"/>
    </row>
    <row r="875" spans="3:7" ht="12.75">
      <c r="C875" t="s">
        <v>604</v>
      </c>
      <c r="D875" s="148">
        <v>11.51</v>
      </c>
      <c r="E875" s="121" t="s">
        <v>605</v>
      </c>
      <c r="F875" s="148">
        <v>250</v>
      </c>
      <c r="G875" s="145">
        <f>D875*F875</f>
        <v>2877.5</v>
      </c>
    </row>
    <row r="876" spans="3:7" ht="12.75">
      <c r="C876" t="s">
        <v>649</v>
      </c>
      <c r="D876" s="148">
        <v>1</v>
      </c>
      <c r="E876" s="121" t="s">
        <v>402</v>
      </c>
      <c r="F876" s="148">
        <v>947.78</v>
      </c>
      <c r="G876" s="145">
        <f>D876*F876</f>
        <v>947.78</v>
      </c>
    </row>
    <row r="877" spans="3:7" ht="12.75">
      <c r="C877" t="s">
        <v>607</v>
      </c>
      <c r="D877" s="148">
        <v>69.04</v>
      </c>
      <c r="E877" s="121" t="s">
        <v>160</v>
      </c>
      <c r="F877" s="148">
        <v>0.5</v>
      </c>
      <c r="G877" s="145">
        <f>D877*F877</f>
        <v>34.52</v>
      </c>
    </row>
    <row r="878" spans="3:7" ht="12.75">
      <c r="C878" t="s">
        <v>650</v>
      </c>
      <c r="D878" s="148">
        <v>1</v>
      </c>
      <c r="E878" s="121" t="s">
        <v>402</v>
      </c>
      <c r="F878" s="148">
        <v>200</v>
      </c>
      <c r="G878" s="145">
        <f>D878*F878</f>
        <v>200</v>
      </c>
    </row>
    <row r="879" spans="3:7" ht="12.75">
      <c r="C879" s="166" t="s">
        <v>670</v>
      </c>
      <c r="D879" s="245"/>
      <c r="E879" s="246"/>
      <c r="F879" s="247" t="s">
        <v>511</v>
      </c>
      <c r="G879" s="165">
        <v>4059.8</v>
      </c>
    </row>
    <row r="882" spans="2:7" ht="12.75">
      <c r="B882" s="118" t="s">
        <v>651</v>
      </c>
      <c r="C882" s="122"/>
      <c r="D882" s="122"/>
      <c r="E882" s="152"/>
      <c r="F882" s="122"/>
      <c r="G882" s="150"/>
    </row>
    <row r="883" spans="2:7" ht="12.75">
      <c r="B883" s="122" t="s">
        <v>652</v>
      </c>
      <c r="C883" s="122"/>
      <c r="D883" s="122">
        <v>4</v>
      </c>
      <c r="E883" s="171" t="s">
        <v>321</v>
      </c>
      <c r="F883" s="122">
        <v>4524</v>
      </c>
      <c r="G883" s="150">
        <f>SUM(F883*D883)</f>
        <v>18096</v>
      </c>
    </row>
    <row r="884" spans="2:7" ht="12.75">
      <c r="B884" s="122" t="s">
        <v>448</v>
      </c>
      <c r="C884" s="122"/>
      <c r="D884" s="122">
        <v>1</v>
      </c>
      <c r="E884" s="171" t="s">
        <v>449</v>
      </c>
      <c r="F884" s="122">
        <v>600</v>
      </c>
      <c r="G884" s="150">
        <f>SUM(F884*D884)</f>
        <v>600</v>
      </c>
    </row>
    <row r="885" spans="2:7" ht="12.75">
      <c r="B885" s="122" t="s">
        <v>450</v>
      </c>
      <c r="C885" s="122"/>
      <c r="D885" s="122"/>
      <c r="E885" s="156"/>
      <c r="F885" s="122"/>
      <c r="G885" s="150"/>
    </row>
    <row r="886" spans="2:7" ht="12.75">
      <c r="B886" s="122" t="s">
        <v>451</v>
      </c>
      <c r="C886" s="122"/>
      <c r="D886" s="122">
        <v>4</v>
      </c>
      <c r="E886" s="171" t="s">
        <v>452</v>
      </c>
      <c r="F886" s="122">
        <v>830</v>
      </c>
      <c r="G886" s="150">
        <f>SUM(D886*F886)</f>
        <v>3320</v>
      </c>
    </row>
    <row r="887" spans="2:7" ht="12.75">
      <c r="B887" s="122" t="s">
        <v>453</v>
      </c>
      <c r="C887" s="122"/>
      <c r="D887" s="122">
        <v>1</v>
      </c>
      <c r="E887" s="171" t="s">
        <v>449</v>
      </c>
      <c r="F887" s="122">
        <f>SUM(G886*0.05)</f>
        <v>166</v>
      </c>
      <c r="G887" s="150">
        <f>SUM(D887*F887)</f>
        <v>166</v>
      </c>
    </row>
    <row r="888" spans="2:7" ht="12.75">
      <c r="B888" s="122"/>
      <c r="C888" s="122"/>
      <c r="D888" s="122"/>
      <c r="F888" s="171" t="s">
        <v>454</v>
      </c>
      <c r="G888" s="150">
        <f>SUM(G886:G887)</f>
        <v>3486</v>
      </c>
    </row>
    <row r="889" spans="2:7" ht="12.75">
      <c r="B889" s="122"/>
      <c r="C889" s="122"/>
      <c r="D889" s="122"/>
      <c r="F889" s="171" t="s">
        <v>455</v>
      </c>
      <c r="G889" s="150">
        <f>SUM(G888/0.5)</f>
        <v>6972</v>
      </c>
    </row>
    <row r="890" spans="2:7" ht="12.75">
      <c r="B890" s="122"/>
      <c r="C890" s="122"/>
      <c r="D890" s="122"/>
      <c r="F890" s="171" t="s">
        <v>456</v>
      </c>
      <c r="G890" s="150">
        <f>SUM(G883+G884+G889)</f>
        <v>25668</v>
      </c>
    </row>
    <row r="891" spans="2:7" ht="13.5" thickBot="1">
      <c r="B891" s="122"/>
      <c r="C891" s="122"/>
      <c r="D891" s="122"/>
      <c r="F891" s="171" t="s">
        <v>457</v>
      </c>
      <c r="G891" s="150"/>
    </row>
    <row r="892" spans="2:7" ht="13.5" thickBot="1">
      <c r="B892" s="122"/>
      <c r="C892" s="122"/>
      <c r="D892" s="122"/>
      <c r="F892" s="171" t="s">
        <v>458</v>
      </c>
      <c r="G892" s="168">
        <f>SUM(G890/9.7)</f>
        <v>2646.19</v>
      </c>
    </row>
    <row r="893" spans="6:7" ht="12.75">
      <c r="F893" s="171" t="s">
        <v>459</v>
      </c>
      <c r="G893">
        <f>SUM(G892/3.28)</f>
        <v>806.765243902439</v>
      </c>
    </row>
  </sheetData>
  <sheetProtection/>
  <mergeCells count="1">
    <mergeCell ref="B719:D71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234"/>
  <sheetViews>
    <sheetView defaultGridColor="0" zoomScalePageLayoutView="0" colorId="22" workbookViewId="0" topLeftCell="A103">
      <selection activeCell="D38" sqref="D38"/>
    </sheetView>
  </sheetViews>
  <sheetFormatPr defaultColWidth="8.00390625" defaultRowHeight="12.75"/>
  <cols>
    <col min="1" max="1" width="5.57421875" style="1" customWidth="1"/>
    <col min="2" max="2" width="65.7109375" style="1" customWidth="1"/>
    <col min="3" max="3" width="12.140625" style="1" customWidth="1"/>
    <col min="4" max="4" width="15.57421875" style="1" customWidth="1"/>
    <col min="5" max="5" width="12.28125" style="316" customWidth="1"/>
    <col min="6" max="6" width="12.28125" style="317" customWidth="1"/>
    <col min="7" max="7" width="22.421875" style="1" customWidth="1"/>
    <col min="8" max="8" width="12.7109375" style="1" customWidth="1"/>
    <col min="9" max="16384" width="8.00390625" style="1" customWidth="1"/>
  </cols>
  <sheetData>
    <row r="1" spans="1:5" ht="28.5" customHeight="1">
      <c r="A1" s="809" t="s">
        <v>806</v>
      </c>
      <c r="B1" s="809"/>
      <c r="C1" s="809"/>
      <c r="D1" s="809"/>
      <c r="E1" s="319"/>
    </row>
    <row r="2" spans="5:6" ht="24" customHeight="1">
      <c r="E2" s="670" t="s">
        <v>717</v>
      </c>
      <c r="F2" s="669">
        <f>50.08</f>
        <v>50.08</v>
      </c>
    </row>
    <row r="3" spans="1:7" ht="28.5" customHeight="1">
      <c r="A3" s="95" t="s">
        <v>166</v>
      </c>
      <c r="B3" s="95" t="s">
        <v>86</v>
      </c>
      <c r="C3" s="95" t="s">
        <v>100</v>
      </c>
      <c r="D3" s="95" t="s">
        <v>704</v>
      </c>
      <c r="E3" s="318"/>
      <c r="F3" s="318"/>
      <c r="G3" s="293"/>
    </row>
    <row r="4" spans="1:7" s="255" customFormat="1" ht="25.5" customHeight="1">
      <c r="A4" s="251"/>
      <c r="B4" s="252" t="s">
        <v>788</v>
      </c>
      <c r="C4" s="253" t="s">
        <v>96</v>
      </c>
      <c r="D4" s="254">
        <f>2.9*F2</f>
        <v>145.23</v>
      </c>
      <c r="E4" s="319"/>
      <c r="F4" s="318"/>
      <c r="G4" s="310"/>
    </row>
    <row r="5" spans="1:7" s="255" customFormat="1" ht="25.5" customHeight="1">
      <c r="A5" s="251"/>
      <c r="B5" s="252" t="s">
        <v>909</v>
      </c>
      <c r="C5" s="253" t="s">
        <v>88</v>
      </c>
      <c r="D5" s="254">
        <f>45000/22.23</f>
        <v>2024.29</v>
      </c>
      <c r="E5" s="318"/>
      <c r="F5" s="318"/>
      <c r="G5" s="310"/>
    </row>
    <row r="6" spans="1:7" s="255" customFormat="1" ht="25.5" customHeight="1">
      <c r="A6" s="251"/>
      <c r="B6" s="252" t="s">
        <v>910</v>
      </c>
      <c r="C6" s="253" t="s">
        <v>88</v>
      </c>
      <c r="D6" s="254">
        <v>1932</v>
      </c>
      <c r="E6" s="318"/>
      <c r="F6" s="318"/>
      <c r="G6" s="310"/>
    </row>
    <row r="7" spans="1:7" s="255" customFormat="1" ht="25.5" customHeight="1">
      <c r="A7" s="693"/>
      <c r="B7" s="377" t="s">
        <v>1060</v>
      </c>
      <c r="C7" s="694" t="s">
        <v>88</v>
      </c>
      <c r="D7" s="358">
        <f>47500/22.23</f>
        <v>2136.75</v>
      </c>
      <c r="E7" s="318"/>
      <c r="F7" s="318"/>
      <c r="G7" s="310"/>
    </row>
    <row r="8" spans="1:7" s="255" customFormat="1" ht="25.5" customHeight="1">
      <c r="A8" s="251"/>
      <c r="B8" s="261" t="s">
        <v>82</v>
      </c>
      <c r="C8" s="262" t="s">
        <v>96</v>
      </c>
      <c r="D8" s="263">
        <v>1</v>
      </c>
      <c r="E8" s="318"/>
      <c r="F8" s="318"/>
      <c r="G8" s="310"/>
    </row>
    <row r="9" spans="1:7" ht="25.5" customHeight="1">
      <c r="A9" s="96"/>
      <c r="B9" s="100" t="s">
        <v>8</v>
      </c>
      <c r="C9" s="101" t="s">
        <v>698</v>
      </c>
      <c r="D9" s="102">
        <v>250</v>
      </c>
      <c r="E9" s="319"/>
      <c r="G9" s="311"/>
    </row>
    <row r="10" spans="1:7" s="255" customFormat="1" ht="25.5" customHeight="1">
      <c r="A10" s="251"/>
      <c r="B10" s="252" t="s">
        <v>718</v>
      </c>
      <c r="C10" s="253" t="s">
        <v>88</v>
      </c>
      <c r="D10" s="254">
        <f>3500/0.55*1.18</f>
        <v>7509.09</v>
      </c>
      <c r="E10" s="319"/>
      <c r="F10" s="319"/>
      <c r="G10" s="306"/>
    </row>
    <row r="11" spans="1:7" s="255" customFormat="1" ht="25.5" customHeight="1">
      <c r="A11" s="251"/>
      <c r="B11" s="252" t="s">
        <v>813</v>
      </c>
      <c r="C11" s="253" t="s">
        <v>89</v>
      </c>
      <c r="D11" s="254">
        <v>1450</v>
      </c>
      <c r="E11" s="319"/>
      <c r="F11" s="319"/>
      <c r="G11" s="374"/>
    </row>
    <row r="12" spans="1:7" ht="25.5" customHeight="1">
      <c r="A12" s="96"/>
      <c r="B12" s="252" t="s">
        <v>719</v>
      </c>
      <c r="C12" s="98" t="s">
        <v>98</v>
      </c>
      <c r="D12" s="263">
        <f>800</f>
        <v>800</v>
      </c>
      <c r="E12" s="318"/>
      <c r="F12" s="320"/>
      <c r="G12" s="311"/>
    </row>
    <row r="13" spans="1:7" ht="25.5" customHeight="1">
      <c r="A13" s="96"/>
      <c r="B13" s="252" t="s">
        <v>720</v>
      </c>
      <c r="C13" s="98" t="s">
        <v>98</v>
      </c>
      <c r="D13" s="263">
        <f>850</f>
        <v>850</v>
      </c>
      <c r="E13" s="318"/>
      <c r="F13" s="320"/>
      <c r="G13" s="311"/>
    </row>
    <row r="14" spans="1:7" ht="25.5" customHeight="1">
      <c r="A14" s="96"/>
      <c r="B14" s="102" t="s">
        <v>236</v>
      </c>
      <c r="C14" s="103" t="s">
        <v>98</v>
      </c>
      <c r="D14" s="263">
        <v>1200</v>
      </c>
      <c r="E14" s="318"/>
      <c r="F14" s="320"/>
      <c r="G14" s="311"/>
    </row>
    <row r="15" spans="1:7" ht="25.5" customHeight="1">
      <c r="A15" s="96"/>
      <c r="B15" s="689" t="s">
        <v>1056</v>
      </c>
      <c r="C15" s="690" t="s">
        <v>98</v>
      </c>
      <c r="D15" s="358">
        <v>800</v>
      </c>
      <c r="E15" s="318" t="s">
        <v>1057</v>
      </c>
      <c r="F15" s="320"/>
      <c r="G15" s="311"/>
    </row>
    <row r="16" spans="1:7" ht="25.5" customHeight="1">
      <c r="A16" s="96"/>
      <c r="B16" s="102" t="s">
        <v>237</v>
      </c>
      <c r="C16" s="103" t="s">
        <v>98</v>
      </c>
      <c r="D16" s="102">
        <f>800</f>
        <v>800</v>
      </c>
      <c r="E16" s="318"/>
      <c r="F16" s="320"/>
      <c r="G16" s="311">
        <v>750</v>
      </c>
    </row>
    <row r="17" spans="1:7" ht="25.5" customHeight="1">
      <c r="A17" s="96"/>
      <c r="B17" s="97" t="s">
        <v>231</v>
      </c>
      <c r="C17" s="98" t="s">
        <v>98</v>
      </c>
      <c r="D17" s="102">
        <v>1500</v>
      </c>
      <c r="E17" s="318"/>
      <c r="G17" s="311"/>
    </row>
    <row r="18" spans="1:7" ht="25.5" customHeight="1">
      <c r="A18" s="96"/>
      <c r="B18" s="97" t="s">
        <v>2</v>
      </c>
      <c r="C18" s="98" t="s">
        <v>98</v>
      </c>
      <c r="D18" s="102">
        <v>950</v>
      </c>
      <c r="E18" s="318"/>
      <c r="G18" s="311"/>
    </row>
    <row r="19" spans="1:7" s="507" customFormat="1" ht="25.5" customHeight="1">
      <c r="A19" s="698"/>
      <c r="B19" s="699" t="s">
        <v>705</v>
      </c>
      <c r="C19" s="700" t="s">
        <v>98</v>
      </c>
      <c r="D19" s="701">
        <v>763</v>
      </c>
      <c r="E19" s="697" t="s">
        <v>1057</v>
      </c>
      <c r="F19" s="702"/>
      <c r="G19" s="506"/>
    </row>
    <row r="20" spans="1:7" s="675" customFormat="1" ht="25.5" customHeight="1">
      <c r="A20" s="671"/>
      <c r="B20" s="263" t="s">
        <v>1050</v>
      </c>
      <c r="C20" s="291" t="s">
        <v>98</v>
      </c>
      <c r="D20" s="263">
        <v>500</v>
      </c>
      <c r="E20" s="672"/>
      <c r="F20" s="673"/>
      <c r="G20" s="674">
        <v>725</v>
      </c>
    </row>
    <row r="21" spans="1:7" ht="25.5" customHeight="1">
      <c r="A21" s="96"/>
      <c r="B21" s="263" t="s">
        <v>1051</v>
      </c>
      <c r="C21" s="291" t="s">
        <v>98</v>
      </c>
      <c r="D21" s="263">
        <v>600</v>
      </c>
      <c r="E21" s="318"/>
      <c r="F21" s="320"/>
      <c r="G21" s="311">
        <v>725</v>
      </c>
    </row>
    <row r="22" spans="1:7" ht="25.5" customHeight="1">
      <c r="A22" s="96"/>
      <c r="B22" s="97" t="s">
        <v>1043</v>
      </c>
      <c r="C22" s="98" t="s">
        <v>98</v>
      </c>
      <c r="D22" s="99">
        <v>750</v>
      </c>
      <c r="E22" s="318">
        <v>771.45</v>
      </c>
      <c r="F22" s="320"/>
      <c r="G22" s="311"/>
    </row>
    <row r="23" spans="1:7" ht="25.5" customHeight="1">
      <c r="A23" s="695"/>
      <c r="B23" s="696" t="s">
        <v>1069</v>
      </c>
      <c r="C23" s="706" t="s">
        <v>98</v>
      </c>
      <c r="D23" s="358">
        <v>750</v>
      </c>
      <c r="E23" s="697" t="s">
        <v>1057</v>
      </c>
      <c r="F23" s="320"/>
      <c r="G23" s="311"/>
    </row>
    <row r="24" spans="1:7" ht="25.5" customHeight="1">
      <c r="A24" s="695"/>
      <c r="B24" s="696" t="s">
        <v>1073</v>
      </c>
      <c r="C24" s="706" t="s">
        <v>98</v>
      </c>
      <c r="D24" s="358">
        <v>750</v>
      </c>
      <c r="E24" s="697" t="s">
        <v>1057</v>
      </c>
      <c r="F24" s="320"/>
      <c r="G24" s="311"/>
    </row>
    <row r="25" spans="1:7" ht="25.5" customHeight="1">
      <c r="A25" s="96"/>
      <c r="B25" s="97" t="s">
        <v>725</v>
      </c>
      <c r="C25" s="98" t="s">
        <v>98</v>
      </c>
      <c r="D25" s="99"/>
      <c r="E25" s="318"/>
      <c r="F25" s="320"/>
      <c r="G25" s="311"/>
    </row>
    <row r="26" spans="1:7" s="255" customFormat="1" ht="25.5" customHeight="1">
      <c r="A26" s="251"/>
      <c r="B26" s="252" t="s">
        <v>24</v>
      </c>
      <c r="C26" s="253" t="s">
        <v>92</v>
      </c>
      <c r="D26" s="254">
        <f>3450*1.18</f>
        <v>4071</v>
      </c>
      <c r="E26" s="329"/>
      <c r="F26" s="322"/>
      <c r="G26" s="310"/>
    </row>
    <row r="27" spans="1:7" s="255" customFormat="1" ht="25.5" customHeight="1">
      <c r="A27" s="251"/>
      <c r="B27" s="252" t="s">
        <v>220</v>
      </c>
      <c r="C27" s="253" t="s">
        <v>100</v>
      </c>
      <c r="D27" s="254">
        <f>1275*1.18</f>
        <v>1504.5</v>
      </c>
      <c r="E27" s="329"/>
      <c r="F27" s="322"/>
      <c r="G27" s="310"/>
    </row>
    <row r="28" spans="1:7" ht="25.5" customHeight="1">
      <c r="A28" s="96"/>
      <c r="B28" s="252" t="s">
        <v>221</v>
      </c>
      <c r="C28" s="253" t="s">
        <v>100</v>
      </c>
      <c r="D28" s="254">
        <f>1350*1.18</f>
        <v>1593</v>
      </c>
      <c r="E28" s="329"/>
      <c r="F28" s="320"/>
      <c r="G28" s="311"/>
    </row>
    <row r="29" spans="1:7" ht="25.5" customHeight="1">
      <c r="A29" s="96"/>
      <c r="B29" s="252" t="s">
        <v>222</v>
      </c>
      <c r="C29" s="253" t="s">
        <v>100</v>
      </c>
      <c r="D29" s="254">
        <f>200*1.18</f>
        <v>236</v>
      </c>
      <c r="E29" s="329"/>
      <c r="F29" s="320"/>
      <c r="G29" s="311"/>
    </row>
    <row r="30" spans="1:7" ht="25.5" customHeight="1">
      <c r="A30" s="96"/>
      <c r="B30" s="252" t="s">
        <v>223</v>
      </c>
      <c r="C30" s="253" t="s">
        <v>100</v>
      </c>
      <c r="D30" s="254">
        <f>40*1.18</f>
        <v>47.2</v>
      </c>
      <c r="E30" s="329"/>
      <c r="F30" s="320"/>
      <c r="G30" s="311"/>
    </row>
    <row r="31" spans="1:7" s="255" customFormat="1" ht="25.5" customHeight="1">
      <c r="A31" s="251"/>
      <c r="B31" s="252" t="s">
        <v>80</v>
      </c>
      <c r="C31" s="253" t="s">
        <v>25</v>
      </c>
      <c r="D31" s="252">
        <v>285</v>
      </c>
      <c r="E31" s="318"/>
      <c r="F31" s="318"/>
      <c r="G31" s="310"/>
    </row>
    <row r="32" spans="1:7" s="260" customFormat="1" ht="25.5" customHeight="1">
      <c r="A32" s="257"/>
      <c r="B32" s="252" t="s">
        <v>90</v>
      </c>
      <c r="C32" s="258" t="s">
        <v>91</v>
      </c>
      <c r="D32" s="259">
        <v>50</v>
      </c>
      <c r="E32" s="321"/>
      <c r="F32" s="321"/>
      <c r="G32" s="312"/>
    </row>
    <row r="33" spans="1:7" s="255" customFormat="1" ht="25.5" customHeight="1">
      <c r="A33" s="251"/>
      <c r="B33" s="261" t="s">
        <v>161</v>
      </c>
      <c r="C33" s="256" t="s">
        <v>98</v>
      </c>
      <c r="D33" s="358">
        <v>60</v>
      </c>
      <c r="E33" s="318"/>
      <c r="F33" s="318"/>
      <c r="G33" s="310"/>
    </row>
    <row r="34" spans="1:7" s="255" customFormat="1" ht="25.5" customHeight="1">
      <c r="A34" s="251"/>
      <c r="B34" s="261" t="s">
        <v>688</v>
      </c>
      <c r="C34" s="256" t="s">
        <v>25</v>
      </c>
      <c r="D34" s="263">
        <f>197.64*1.18</f>
        <v>233.22</v>
      </c>
      <c r="E34" s="318"/>
      <c r="F34" s="318"/>
      <c r="G34" s="310"/>
    </row>
    <row r="35" spans="1:7" s="255" customFormat="1" ht="26.25" customHeight="1">
      <c r="A35" s="251"/>
      <c r="B35" s="252" t="s">
        <v>239</v>
      </c>
      <c r="C35" s="253" t="s">
        <v>169</v>
      </c>
      <c r="D35" s="252">
        <f>3369.71</f>
        <v>3369.71</v>
      </c>
      <c r="E35" s="318"/>
      <c r="F35" s="318"/>
      <c r="G35" s="310"/>
    </row>
    <row r="36" spans="1:7" s="255" customFormat="1" ht="26.25" customHeight="1">
      <c r="A36" s="251"/>
      <c r="B36" s="252" t="s">
        <v>808</v>
      </c>
      <c r="C36" s="253" t="s">
        <v>96</v>
      </c>
      <c r="D36" s="358">
        <v>207.9</v>
      </c>
      <c r="E36" s="351">
        <v>43406</v>
      </c>
      <c r="F36" s="318"/>
      <c r="G36" s="310"/>
    </row>
    <row r="37" spans="1:7" s="260" customFormat="1" ht="26.25" customHeight="1" thickBot="1">
      <c r="A37" s="257"/>
      <c r="B37" s="252" t="s">
        <v>709</v>
      </c>
      <c r="C37" s="253" t="s">
        <v>96</v>
      </c>
      <c r="D37" s="358">
        <v>223.3</v>
      </c>
      <c r="E37" s="351">
        <f>E36</f>
        <v>43406</v>
      </c>
      <c r="F37" s="321"/>
      <c r="G37" s="312"/>
    </row>
    <row r="38" spans="1:7" s="255" customFormat="1" ht="26.25" customHeight="1" thickBot="1">
      <c r="A38" s="251"/>
      <c r="B38" s="252" t="s">
        <v>97</v>
      </c>
      <c r="C38" s="264" t="s">
        <v>89</v>
      </c>
      <c r="D38" s="352">
        <f>16500*1.18</f>
        <v>19470</v>
      </c>
      <c r="E38" s="353">
        <v>42576</v>
      </c>
      <c r="F38" s="318"/>
      <c r="G38" s="310"/>
    </row>
    <row r="39" spans="1:7" s="255" customFormat="1" ht="26.25" customHeight="1" thickBot="1">
      <c r="A39" s="251"/>
      <c r="B39" s="252" t="s">
        <v>729</v>
      </c>
      <c r="C39" s="264" t="s">
        <v>730</v>
      </c>
      <c r="D39" s="352">
        <f>3575*1.18</f>
        <v>4218.5</v>
      </c>
      <c r="E39" s="353">
        <v>42577</v>
      </c>
      <c r="F39" s="318"/>
      <c r="G39" s="310"/>
    </row>
    <row r="40" spans="1:7" s="255" customFormat="1" ht="26.25" customHeight="1" thickBot="1">
      <c r="A40" s="251"/>
      <c r="B40" s="252" t="s">
        <v>731</v>
      </c>
      <c r="C40" s="264" t="s">
        <v>730</v>
      </c>
      <c r="D40" s="352">
        <f>5350*1.18</f>
        <v>6313</v>
      </c>
      <c r="E40" s="353">
        <v>42578</v>
      </c>
      <c r="F40" s="318"/>
      <c r="G40" s="310"/>
    </row>
    <row r="41" spans="1:7" s="255" customFormat="1" ht="26.25" customHeight="1" thickBot="1">
      <c r="A41" s="251"/>
      <c r="B41" s="252" t="s">
        <v>732</v>
      </c>
      <c r="C41" s="264" t="s">
        <v>730</v>
      </c>
      <c r="D41" s="352">
        <f>6000*1.18</f>
        <v>7080</v>
      </c>
      <c r="E41" s="353">
        <v>42579</v>
      </c>
      <c r="F41" s="318"/>
      <c r="G41" s="310"/>
    </row>
    <row r="42" spans="1:7" s="255" customFormat="1" ht="26.25" customHeight="1" thickBot="1">
      <c r="A42" s="251"/>
      <c r="B42" s="252" t="s">
        <v>733</v>
      </c>
      <c r="C42" s="264" t="s">
        <v>730</v>
      </c>
      <c r="D42" s="352">
        <f>4550*1.18</f>
        <v>5369</v>
      </c>
      <c r="E42" s="353">
        <v>42580</v>
      </c>
      <c r="F42" s="318"/>
      <c r="G42" s="310"/>
    </row>
    <row r="43" spans="1:7" s="255" customFormat="1" ht="26.25" customHeight="1">
      <c r="A43" s="251"/>
      <c r="B43" s="252" t="s">
        <v>734</v>
      </c>
      <c r="C43" s="264" t="s">
        <v>730</v>
      </c>
      <c r="D43" s="352">
        <f>2500*1.18</f>
        <v>2950</v>
      </c>
      <c r="E43" s="353">
        <v>42581</v>
      </c>
      <c r="F43" s="318"/>
      <c r="G43" s="310"/>
    </row>
    <row r="44" spans="1:7" ht="26.25" customHeight="1">
      <c r="A44" s="96"/>
      <c r="B44" s="252" t="s">
        <v>203</v>
      </c>
      <c r="C44" s="253" t="s">
        <v>167</v>
      </c>
      <c r="D44" s="254">
        <f>7.35*43.55</f>
        <v>320.09</v>
      </c>
      <c r="E44" s="319"/>
      <c r="G44" s="311"/>
    </row>
    <row r="45" spans="1:7" s="255" customFormat="1" ht="26.25" customHeight="1">
      <c r="A45" s="251"/>
      <c r="B45" s="252" t="s">
        <v>249</v>
      </c>
      <c r="C45" s="258" t="s">
        <v>91</v>
      </c>
      <c r="D45" s="307">
        <v>42.94</v>
      </c>
      <c r="E45" s="318"/>
      <c r="F45" s="318"/>
      <c r="G45" s="310"/>
    </row>
    <row r="46" spans="1:7" ht="26.25" customHeight="1">
      <c r="A46" s="96"/>
      <c r="B46" s="97" t="s">
        <v>232</v>
      </c>
      <c r="C46" s="98" t="s">
        <v>98</v>
      </c>
      <c r="D46" s="102">
        <f>675</f>
        <v>675</v>
      </c>
      <c r="E46" s="318"/>
      <c r="F46" s="320"/>
      <c r="G46" s="311"/>
    </row>
    <row r="47" spans="1:7" ht="26.25" customHeight="1">
      <c r="A47" s="96"/>
      <c r="B47" s="102" t="s">
        <v>238</v>
      </c>
      <c r="C47" s="103" t="s">
        <v>98</v>
      </c>
      <c r="D47" s="102">
        <v>950</v>
      </c>
      <c r="E47" s="318"/>
      <c r="F47" s="320"/>
      <c r="G47" s="311"/>
    </row>
    <row r="48" spans="1:7" ht="26.25" customHeight="1">
      <c r="A48" s="96"/>
      <c r="B48" s="689" t="s">
        <v>1058</v>
      </c>
      <c r="C48" s="690" t="s">
        <v>98</v>
      </c>
      <c r="D48" s="689">
        <v>800</v>
      </c>
      <c r="E48" s="691" t="s">
        <v>1059</v>
      </c>
      <c r="F48" s="692"/>
      <c r="G48" s="311"/>
    </row>
    <row r="49" spans="1:7" ht="26.25" customHeight="1">
      <c r="A49" s="96"/>
      <c r="B49" s="263" t="s">
        <v>723</v>
      </c>
      <c r="C49" s="103" t="s">
        <v>98</v>
      </c>
      <c r="D49" s="263">
        <f>675</f>
        <v>675</v>
      </c>
      <c r="E49" s="318"/>
      <c r="F49" s="320"/>
      <c r="G49" s="311"/>
    </row>
    <row r="50" spans="1:7" ht="26.25" customHeight="1">
      <c r="A50" s="96"/>
      <c r="B50" s="252" t="s">
        <v>721</v>
      </c>
      <c r="C50" s="98" t="s">
        <v>98</v>
      </c>
      <c r="D50" s="254">
        <v>800</v>
      </c>
      <c r="E50" s="318"/>
      <c r="F50" s="320"/>
      <c r="G50" s="311"/>
    </row>
    <row r="51" spans="1:7" ht="26.25" customHeight="1">
      <c r="A51" s="96"/>
      <c r="B51" s="97" t="s">
        <v>233</v>
      </c>
      <c r="C51" s="98" t="s">
        <v>98</v>
      </c>
      <c r="D51" s="99">
        <f>675</f>
        <v>675</v>
      </c>
      <c r="E51" s="318"/>
      <c r="F51" s="320"/>
      <c r="G51" s="311"/>
    </row>
    <row r="52" spans="1:7" ht="26.25" customHeight="1">
      <c r="A52" s="96"/>
      <c r="B52" s="97" t="s">
        <v>234</v>
      </c>
      <c r="C52" s="98" t="s">
        <v>98</v>
      </c>
      <c r="D52" s="99">
        <f>675</f>
        <v>675</v>
      </c>
      <c r="E52" s="318"/>
      <c r="F52" s="320"/>
      <c r="G52" s="311"/>
    </row>
    <row r="53" spans="1:7" ht="26.25" customHeight="1">
      <c r="A53" s="96"/>
      <c r="B53" s="263" t="s">
        <v>724</v>
      </c>
      <c r="C53" s="103" t="s">
        <v>98</v>
      </c>
      <c r="D53" s="102">
        <f>644.07*1.18</f>
        <v>760</v>
      </c>
      <c r="E53" s="318"/>
      <c r="G53" s="311">
        <f>645*1.18</f>
        <v>761.1</v>
      </c>
    </row>
    <row r="54" spans="1:7" ht="26.25" customHeight="1">
      <c r="A54" s="96"/>
      <c r="B54" s="252" t="s">
        <v>722</v>
      </c>
      <c r="C54" s="103" t="s">
        <v>98</v>
      </c>
      <c r="D54" s="263">
        <f>800*1.18</f>
        <v>944</v>
      </c>
      <c r="E54" s="318"/>
      <c r="G54" s="310">
        <f>645*1.18</f>
        <v>761.1</v>
      </c>
    </row>
    <row r="55" spans="1:7" ht="26.25" customHeight="1">
      <c r="A55" s="96"/>
      <c r="B55" s="377" t="s">
        <v>1067</v>
      </c>
      <c r="C55" s="690" t="s">
        <v>98</v>
      </c>
      <c r="D55" s="358">
        <v>761</v>
      </c>
      <c r="E55" s="691" t="s">
        <v>1068</v>
      </c>
      <c r="F55" s="705"/>
      <c r="G55" s="310">
        <f>645*1.18</f>
        <v>761.1</v>
      </c>
    </row>
    <row r="56" spans="1:7" ht="28.5" customHeight="1">
      <c r="A56" s="96"/>
      <c r="B56" s="100" t="s">
        <v>9</v>
      </c>
      <c r="C56" s="105" t="s">
        <v>96</v>
      </c>
      <c r="D56" s="254">
        <v>184.7</v>
      </c>
      <c r="E56" s="351">
        <v>43406</v>
      </c>
      <c r="G56" s="311"/>
    </row>
    <row r="57" spans="1:7" ht="28.5" customHeight="1">
      <c r="A57" s="100"/>
      <c r="B57" s="100" t="s">
        <v>244</v>
      </c>
      <c r="C57" s="98" t="s">
        <v>100</v>
      </c>
      <c r="D57" s="106">
        <f>7540/1.16*1.18</f>
        <v>7670</v>
      </c>
      <c r="E57" s="319">
        <v>1300</v>
      </c>
      <c r="F57" s="359">
        <f>D57+E57</f>
        <v>8970</v>
      </c>
      <c r="G57" s="311"/>
    </row>
    <row r="58" spans="1:7" ht="28.5" customHeight="1">
      <c r="A58" s="96"/>
      <c r="B58" s="108" t="s">
        <v>245</v>
      </c>
      <c r="C58" s="98" t="s">
        <v>100</v>
      </c>
      <c r="D58" s="106">
        <f>7540/1.16*1.18</f>
        <v>7670</v>
      </c>
      <c r="E58" s="319"/>
      <c r="G58" s="311"/>
    </row>
    <row r="59" spans="1:7" ht="28.5" customHeight="1">
      <c r="A59" s="96"/>
      <c r="B59" s="111" t="s">
        <v>246</v>
      </c>
      <c r="C59" s="98" t="s">
        <v>100</v>
      </c>
      <c r="D59" s="106">
        <f>3300/1.16*1.18</f>
        <v>3356.9</v>
      </c>
      <c r="E59" s="319">
        <f>E57</f>
        <v>1300</v>
      </c>
      <c r="F59" s="359">
        <f>D59+E59</f>
        <v>4656.9</v>
      </c>
      <c r="G59" s="311"/>
    </row>
    <row r="60" spans="1:7" ht="28.5" customHeight="1">
      <c r="A60" s="96"/>
      <c r="B60" s="107" t="s">
        <v>99</v>
      </c>
      <c r="C60" s="105" t="s">
        <v>98</v>
      </c>
      <c r="D60" s="99">
        <v>550</v>
      </c>
      <c r="E60" s="319"/>
      <c r="G60" s="311"/>
    </row>
    <row r="61" spans="1:7" s="255" customFormat="1" ht="28.5" customHeight="1">
      <c r="A61" s="251"/>
      <c r="B61" s="252" t="s">
        <v>247</v>
      </c>
      <c r="C61" s="253" t="s">
        <v>98</v>
      </c>
      <c r="D61" s="254">
        <f>800</f>
        <v>800</v>
      </c>
      <c r="E61" s="318"/>
      <c r="F61" s="322"/>
      <c r="G61" s="310"/>
    </row>
    <row r="62" spans="1:7" s="255" customFormat="1" ht="28.5" customHeight="1">
      <c r="A62" s="251"/>
      <c r="B62" s="252" t="s">
        <v>1048</v>
      </c>
      <c r="C62" s="253" t="s">
        <v>98</v>
      </c>
      <c r="D62" s="254">
        <v>550</v>
      </c>
      <c r="E62" s="318"/>
      <c r="F62" s="322"/>
      <c r="G62" s="310"/>
    </row>
    <row r="63" spans="1:7" s="255" customFormat="1" ht="28.5" customHeight="1">
      <c r="A63" s="251"/>
      <c r="B63" s="377" t="s">
        <v>1065</v>
      </c>
      <c r="C63" s="694" t="s">
        <v>98</v>
      </c>
      <c r="D63" s="358">
        <v>800</v>
      </c>
      <c r="E63" s="691" t="s">
        <v>1066</v>
      </c>
      <c r="F63" s="704"/>
      <c r="G63" s="310"/>
    </row>
    <row r="64" spans="1:7" s="255" customFormat="1" ht="28.5" customHeight="1">
      <c r="A64" s="251"/>
      <c r="B64" s="252" t="s">
        <v>7</v>
      </c>
      <c r="C64" s="264" t="s">
        <v>100</v>
      </c>
      <c r="D64" s="254">
        <v>80</v>
      </c>
      <c r="E64" s="329"/>
      <c r="F64" s="322"/>
      <c r="G64" s="310"/>
    </row>
    <row r="65" spans="1:7" s="255" customFormat="1" ht="28.5" customHeight="1">
      <c r="A65" s="251"/>
      <c r="B65" s="252" t="s">
        <v>786</v>
      </c>
      <c r="C65" s="253" t="s">
        <v>98</v>
      </c>
      <c r="D65" s="254">
        <f>D61</f>
        <v>800</v>
      </c>
      <c r="E65" s="318"/>
      <c r="F65" s="322"/>
      <c r="G65" s="310"/>
    </row>
    <row r="66" spans="1:7" s="255" customFormat="1" ht="28.5" customHeight="1">
      <c r="A66" s="251"/>
      <c r="B66" s="252" t="s">
        <v>178</v>
      </c>
      <c r="C66" s="262" t="s">
        <v>98</v>
      </c>
      <c r="D66" s="261">
        <f>600*1.18</f>
        <v>708</v>
      </c>
      <c r="E66" s="318"/>
      <c r="F66" s="318"/>
      <c r="G66" s="310"/>
    </row>
    <row r="67" spans="1:7" s="255" customFormat="1" ht="28.5" customHeight="1">
      <c r="A67" s="251"/>
      <c r="B67" s="252" t="s">
        <v>693</v>
      </c>
      <c r="C67" s="264" t="s">
        <v>174</v>
      </c>
      <c r="D67" s="261">
        <v>50</v>
      </c>
      <c r="E67" s="318"/>
      <c r="F67" s="318"/>
      <c r="G67" s="310"/>
    </row>
    <row r="68" spans="1:7" ht="28.5" customHeight="1">
      <c r="A68" s="96"/>
      <c r="B68" s="97" t="s">
        <v>17</v>
      </c>
      <c r="C68" s="105" t="s">
        <v>100</v>
      </c>
      <c r="D68" s="99">
        <v>40</v>
      </c>
      <c r="E68" s="319"/>
      <c r="G68" s="311"/>
    </row>
    <row r="69" spans="1:7" ht="28.5" customHeight="1">
      <c r="A69" s="96"/>
      <c r="B69" s="252" t="s">
        <v>735</v>
      </c>
      <c r="C69" s="253" t="s">
        <v>92</v>
      </c>
      <c r="D69" s="252">
        <f>102.12*1.2</f>
        <v>122.54</v>
      </c>
      <c r="E69" s="319"/>
      <c r="G69" s="311"/>
    </row>
    <row r="70" spans="1:7" ht="28.5" customHeight="1">
      <c r="A70" s="108"/>
      <c r="B70" s="347" t="s">
        <v>686</v>
      </c>
      <c r="C70" s="264" t="s">
        <v>100</v>
      </c>
      <c r="D70" s="252">
        <f>241.53</f>
        <v>241.53</v>
      </c>
      <c r="E70" s="330" t="s">
        <v>687</v>
      </c>
      <c r="F70" s="143">
        <f>300*1.18</f>
        <v>354</v>
      </c>
      <c r="G70" s="311"/>
    </row>
    <row r="71" spans="1:7" ht="28.5" customHeight="1">
      <c r="A71" s="108"/>
      <c r="B71" s="308" t="s">
        <v>653</v>
      </c>
      <c r="C71" s="105" t="s">
        <v>100</v>
      </c>
      <c r="D71" s="97"/>
      <c r="E71" s="319"/>
      <c r="G71" s="311"/>
    </row>
    <row r="72" spans="1:7" ht="28.5" customHeight="1">
      <c r="A72" s="108"/>
      <c r="B72" s="347" t="s">
        <v>755</v>
      </c>
      <c r="C72" s="264" t="s">
        <v>100</v>
      </c>
      <c r="D72" s="252">
        <f>275*1.18</f>
        <v>324.5</v>
      </c>
      <c r="E72" s="319"/>
      <c r="G72" s="311"/>
    </row>
    <row r="73" spans="1:7" ht="28.5" customHeight="1">
      <c r="A73" s="108"/>
      <c r="B73" s="347" t="s">
        <v>654</v>
      </c>
      <c r="C73" s="264" t="s">
        <v>100</v>
      </c>
      <c r="D73" s="252">
        <f>95*1.18</f>
        <v>112.1</v>
      </c>
      <c r="E73" s="319"/>
      <c r="G73" s="311"/>
    </row>
    <row r="74" spans="1:7" s="255" customFormat="1" ht="28.5" customHeight="1">
      <c r="A74" s="251"/>
      <c r="B74" s="252" t="s">
        <v>7</v>
      </c>
      <c r="C74" s="264" t="s">
        <v>100</v>
      </c>
      <c r="D74" s="254">
        <f>50*1.18</f>
        <v>59</v>
      </c>
      <c r="E74" s="318"/>
      <c r="F74" s="318"/>
      <c r="G74" s="310"/>
    </row>
    <row r="75" spans="1:7" s="260" customFormat="1" ht="28.5" customHeight="1">
      <c r="A75" s="257"/>
      <c r="B75" s="257" t="s">
        <v>712</v>
      </c>
      <c r="C75" s="253" t="s">
        <v>96</v>
      </c>
      <c r="D75" s="257">
        <f>4.25*F2</f>
        <v>212.84</v>
      </c>
      <c r="E75" s="321"/>
      <c r="F75" s="321"/>
      <c r="G75" s="312"/>
    </row>
    <row r="76" spans="1:10" ht="28.5" customHeight="1">
      <c r="A76" s="96"/>
      <c r="B76" s="97" t="s">
        <v>243</v>
      </c>
      <c r="C76" s="98" t="s">
        <v>98</v>
      </c>
      <c r="D76" s="99">
        <f>310*1.18</f>
        <v>365.8</v>
      </c>
      <c r="E76" s="319"/>
      <c r="F76" s="323"/>
      <c r="G76" s="311"/>
      <c r="J76" s="1">
        <f>1750/1.16</f>
        <v>1508.62068965517</v>
      </c>
    </row>
    <row r="77" spans="1:7" ht="28.5" customHeight="1">
      <c r="A77" s="96"/>
      <c r="B77" s="97" t="s">
        <v>243</v>
      </c>
      <c r="C77" s="98" t="s">
        <v>98</v>
      </c>
      <c r="D77" s="99">
        <f>750/2*1.18</f>
        <v>442.5</v>
      </c>
      <c r="E77" s="319"/>
      <c r="F77" s="323"/>
      <c r="G77" s="311"/>
    </row>
    <row r="78" spans="1:10" ht="28.5" customHeight="1">
      <c r="A78" s="96"/>
      <c r="B78" s="97" t="s">
        <v>242</v>
      </c>
      <c r="C78" s="98" t="s">
        <v>98</v>
      </c>
      <c r="D78" s="99">
        <f>310*1.18</f>
        <v>365.8</v>
      </c>
      <c r="E78" s="319"/>
      <c r="F78" s="323"/>
      <c r="G78" s="311"/>
      <c r="J78" s="1">
        <f>1850/1.18</f>
        <v>1567.79661016949</v>
      </c>
    </row>
    <row r="79" spans="1:7" ht="28.5" customHeight="1">
      <c r="A79" s="96"/>
      <c r="B79" s="102" t="s">
        <v>240</v>
      </c>
      <c r="C79" s="103" t="s">
        <v>98</v>
      </c>
      <c r="D79" s="102">
        <f>350*1.18</f>
        <v>413</v>
      </c>
      <c r="E79" s="329"/>
      <c r="F79" s="320"/>
      <c r="G79" s="311"/>
    </row>
    <row r="80" spans="1:7" ht="28.5" customHeight="1">
      <c r="A80" s="96"/>
      <c r="B80" s="102" t="s">
        <v>241</v>
      </c>
      <c r="C80" s="103" t="s">
        <v>98</v>
      </c>
      <c r="D80" s="102">
        <f>43.1*1.18</f>
        <v>50.86</v>
      </c>
      <c r="E80" s="329"/>
      <c r="F80" s="320"/>
      <c r="G80" s="311"/>
    </row>
    <row r="81" spans="1:7" ht="28.5" customHeight="1">
      <c r="A81" s="96"/>
      <c r="B81" s="97" t="s">
        <v>235</v>
      </c>
      <c r="C81" s="98" t="s">
        <v>98</v>
      </c>
      <c r="D81" s="99">
        <f>689.65*1.18</f>
        <v>813.79</v>
      </c>
      <c r="E81" s="319"/>
      <c r="G81" s="311"/>
    </row>
    <row r="82" spans="1:7" s="255" customFormat="1" ht="28.5" customHeight="1">
      <c r="A82" s="251"/>
      <c r="B82" s="252" t="s">
        <v>5</v>
      </c>
      <c r="C82" s="262"/>
      <c r="D82" s="261">
        <f>1500*1.18</f>
        <v>1770</v>
      </c>
      <c r="E82" s="318"/>
      <c r="F82" s="318"/>
      <c r="G82" s="310"/>
    </row>
    <row r="83" spans="1:7" ht="28.5" customHeight="1">
      <c r="A83" s="127"/>
      <c r="B83" s="97" t="s">
        <v>288</v>
      </c>
      <c r="C83" s="98" t="s">
        <v>92</v>
      </c>
      <c r="D83" s="99">
        <v>580</v>
      </c>
      <c r="E83" s="319"/>
      <c r="G83" s="311"/>
    </row>
    <row r="84" spans="1:7" ht="28.5" customHeight="1">
      <c r="A84" s="127"/>
      <c r="B84" s="97" t="s">
        <v>289</v>
      </c>
      <c r="C84" s="98" t="s">
        <v>92</v>
      </c>
      <c r="D84" s="99">
        <v>1100</v>
      </c>
      <c r="E84" s="319"/>
      <c r="G84" s="311"/>
    </row>
    <row r="85" spans="1:7" ht="28.5" customHeight="1">
      <c r="A85" s="127"/>
      <c r="B85" s="97" t="s">
        <v>290</v>
      </c>
      <c r="C85" s="98" t="s">
        <v>92</v>
      </c>
      <c r="D85" s="99">
        <v>1250</v>
      </c>
      <c r="E85" s="319"/>
      <c r="G85" s="311"/>
    </row>
    <row r="86" spans="1:7" ht="28.5" customHeight="1">
      <c r="A86" s="127"/>
      <c r="B86" s="252" t="s">
        <v>291</v>
      </c>
      <c r="C86" s="98" t="s">
        <v>92</v>
      </c>
      <c r="D86" s="254">
        <v>2750</v>
      </c>
      <c r="E86" s="319"/>
      <c r="G86" s="311"/>
    </row>
    <row r="87" spans="1:7" ht="28.5" customHeight="1">
      <c r="A87" s="100"/>
      <c r="B87" s="252" t="s">
        <v>93</v>
      </c>
      <c r="C87" s="103" t="s">
        <v>92</v>
      </c>
      <c r="D87" s="263">
        <v>3350</v>
      </c>
      <c r="E87" s="319"/>
      <c r="G87" s="311"/>
    </row>
    <row r="88" spans="1:7" s="255" customFormat="1" ht="28.5" customHeight="1">
      <c r="A88" s="261"/>
      <c r="B88" s="252" t="s">
        <v>94</v>
      </c>
      <c r="C88" s="291" t="s">
        <v>92</v>
      </c>
      <c r="D88" s="263">
        <v>5100</v>
      </c>
      <c r="E88" s="318"/>
      <c r="F88" s="318"/>
      <c r="G88" s="310"/>
    </row>
    <row r="89" spans="1:7" s="255" customFormat="1" ht="28.5" customHeight="1">
      <c r="A89" s="261"/>
      <c r="B89" s="252" t="s">
        <v>95</v>
      </c>
      <c r="C89" s="291" t="s">
        <v>92</v>
      </c>
      <c r="D89" s="292">
        <v>6250</v>
      </c>
      <c r="E89" s="318"/>
      <c r="F89" s="318"/>
      <c r="G89" s="310"/>
    </row>
    <row r="90" spans="1:7" s="255" customFormat="1" ht="28.5" customHeight="1">
      <c r="A90" s="261"/>
      <c r="B90" s="252" t="s">
        <v>26</v>
      </c>
      <c r="C90" s="291" t="s">
        <v>92</v>
      </c>
      <c r="D90" s="263">
        <v>8250</v>
      </c>
      <c r="E90" s="318"/>
      <c r="F90" s="318"/>
      <c r="G90" s="310"/>
    </row>
    <row r="91" spans="1:7" ht="28.5" customHeight="1">
      <c r="A91" s="100"/>
      <c r="B91" s="97" t="s">
        <v>27</v>
      </c>
      <c r="C91" s="103" t="s">
        <v>92</v>
      </c>
      <c r="D91" s="343">
        <f>12687.68</f>
        <v>12687.68</v>
      </c>
      <c r="E91" s="319"/>
      <c r="G91" s="311"/>
    </row>
    <row r="92" spans="1:7" ht="28.5" customHeight="1">
      <c r="A92" s="100"/>
      <c r="B92" s="97" t="s">
        <v>226</v>
      </c>
      <c r="C92" s="103" t="s">
        <v>92</v>
      </c>
      <c r="D92" s="343">
        <f>17600*1.18/1.1</f>
        <v>18880</v>
      </c>
      <c r="E92" s="328"/>
      <c r="F92" s="320"/>
      <c r="G92" s="311"/>
    </row>
    <row r="93" spans="1:7" ht="28.5" customHeight="1">
      <c r="A93" s="100"/>
      <c r="B93" s="97" t="s">
        <v>227</v>
      </c>
      <c r="C93" s="103" t="s">
        <v>92</v>
      </c>
      <c r="D93" s="343">
        <v>16500</v>
      </c>
      <c r="E93" s="331"/>
      <c r="F93" s="324"/>
      <c r="G93" s="311"/>
    </row>
    <row r="94" spans="1:7" ht="28.5" customHeight="1">
      <c r="A94" s="100"/>
      <c r="B94" s="96" t="s">
        <v>228</v>
      </c>
      <c r="C94" s="104" t="s">
        <v>100</v>
      </c>
      <c r="D94" s="109">
        <f>588*1.18</f>
        <v>693.84</v>
      </c>
      <c r="E94" s="332"/>
      <c r="F94" s="325"/>
      <c r="G94" s="311">
        <f>D94*5.79</f>
        <v>4017.3336</v>
      </c>
    </row>
    <row r="95" spans="1:7" ht="28.5" customHeight="1">
      <c r="A95" s="100"/>
      <c r="B95" s="96" t="s">
        <v>229</v>
      </c>
      <c r="C95" s="104" t="s">
        <v>100</v>
      </c>
      <c r="D95" s="109">
        <f>1230*1.18</f>
        <v>1451.4</v>
      </c>
      <c r="E95" s="332"/>
      <c r="F95" s="325"/>
      <c r="G95" s="313">
        <f>D95*5.79</f>
        <v>8403.606</v>
      </c>
    </row>
    <row r="96" spans="1:7" ht="28.5" customHeight="1">
      <c r="A96" s="100"/>
      <c r="B96" s="96" t="s">
        <v>230</v>
      </c>
      <c r="C96" s="104" t="s">
        <v>100</v>
      </c>
      <c r="D96" s="341">
        <f>6153.21</f>
        <v>6153.21</v>
      </c>
      <c r="E96" s="333"/>
      <c r="F96" s="325"/>
      <c r="G96" s="313"/>
    </row>
    <row r="97" spans="1:7" ht="28.5" customHeight="1">
      <c r="A97" s="100"/>
      <c r="B97" s="100" t="s">
        <v>15</v>
      </c>
      <c r="C97" s="101" t="s">
        <v>100</v>
      </c>
      <c r="D97" s="254">
        <f>473.14</f>
        <v>473.14</v>
      </c>
      <c r="E97" s="328"/>
      <c r="F97" s="326"/>
      <c r="G97" s="311"/>
    </row>
    <row r="98" spans="1:7" s="255" customFormat="1" ht="28.5" customHeight="1">
      <c r="A98" s="261"/>
      <c r="B98" s="261" t="s">
        <v>18</v>
      </c>
      <c r="C98" s="101" t="s">
        <v>100</v>
      </c>
      <c r="D98" s="254">
        <f>4542.42</f>
        <v>4542.42</v>
      </c>
      <c r="E98" s="334"/>
      <c r="F98" s="327"/>
      <c r="G98" s="314"/>
    </row>
    <row r="99" spans="1:7" ht="28.5" customHeight="1">
      <c r="A99" s="100"/>
      <c r="B99" s="100" t="s">
        <v>21</v>
      </c>
      <c r="C99" s="101" t="s">
        <v>100</v>
      </c>
      <c r="D99" s="254">
        <v>1032.88</v>
      </c>
      <c r="E99" s="328"/>
      <c r="F99" s="326"/>
      <c r="G99" s="313">
        <f>1252.8*1.16</f>
        <v>1453.248</v>
      </c>
    </row>
    <row r="100" spans="1:7" s="255" customFormat="1" ht="28.5" customHeight="1">
      <c r="A100" s="261"/>
      <c r="B100" s="261" t="s">
        <v>19</v>
      </c>
      <c r="C100" s="101" t="s">
        <v>100</v>
      </c>
      <c r="D100" s="254">
        <v>1658.18</v>
      </c>
      <c r="E100" s="334"/>
      <c r="F100" s="327"/>
      <c r="G100" s="310"/>
    </row>
    <row r="101" spans="1:7" ht="28.5" customHeight="1">
      <c r="A101" s="100"/>
      <c r="B101" s="100" t="s">
        <v>710</v>
      </c>
      <c r="C101" s="105" t="s">
        <v>100</v>
      </c>
      <c r="D101" s="254">
        <f>13171.6</f>
        <v>13171.6</v>
      </c>
      <c r="E101" s="328"/>
      <c r="F101" s="326"/>
      <c r="G101" s="311"/>
    </row>
    <row r="102" spans="1:7" ht="28.5" customHeight="1">
      <c r="A102" s="100"/>
      <c r="B102" s="97" t="s">
        <v>16</v>
      </c>
      <c r="C102" s="98"/>
      <c r="D102" s="97"/>
      <c r="E102" s="328"/>
      <c r="F102" s="326"/>
      <c r="G102" s="313"/>
    </row>
    <row r="103" spans="1:12" s="375" customFormat="1" ht="24.75" customHeight="1">
      <c r="A103" s="100"/>
      <c r="B103" s="100" t="s">
        <v>260</v>
      </c>
      <c r="C103" s="105" t="s">
        <v>98</v>
      </c>
      <c r="D103" s="489">
        <f>(3277*1.18)+(500*1.18)</f>
        <v>4456.86</v>
      </c>
      <c r="E103" s="334" t="s">
        <v>809</v>
      </c>
      <c r="F103" s="326"/>
      <c r="G103" s="374"/>
      <c r="H103" s="490" t="s">
        <v>260</v>
      </c>
      <c r="I103" s="491"/>
      <c r="J103" s="435"/>
      <c r="K103" s="489">
        <f>(3277*1.18)+(500*1.18)</f>
        <v>4456.86</v>
      </c>
      <c r="L103" s="491" t="s">
        <v>98</v>
      </c>
    </row>
    <row r="104" spans="1:12" s="375" customFormat="1" ht="24.75" customHeight="1">
      <c r="A104" s="100"/>
      <c r="B104" s="100" t="s">
        <v>261</v>
      </c>
      <c r="C104" s="105" t="s">
        <v>98</v>
      </c>
      <c r="D104" s="489">
        <f>(3469.5*1.18)+(500*1.18)</f>
        <v>4684.01</v>
      </c>
      <c r="E104" s="334" t="s">
        <v>809</v>
      </c>
      <c r="F104" s="326"/>
      <c r="G104" s="374"/>
      <c r="H104" s="490" t="s">
        <v>261</v>
      </c>
      <c r="I104" s="491"/>
      <c r="J104" s="435"/>
      <c r="K104" s="489">
        <f>(3469.5*1.18)+(500*1.18)</f>
        <v>4684.01</v>
      </c>
      <c r="L104" s="491" t="s">
        <v>98</v>
      </c>
    </row>
    <row r="105" spans="1:12" s="375" customFormat="1" ht="24.75" customHeight="1">
      <c r="A105" s="100"/>
      <c r="B105" s="100" t="s">
        <v>262</v>
      </c>
      <c r="C105" s="105" t="s">
        <v>98</v>
      </c>
      <c r="D105" s="492">
        <f>(4400*1.16)+(500*1.16)</f>
        <v>5684</v>
      </c>
      <c r="E105" s="334"/>
      <c r="F105" s="326"/>
      <c r="G105" s="374"/>
      <c r="H105" s="490" t="s">
        <v>262</v>
      </c>
      <c r="I105" s="491"/>
      <c r="J105" s="435"/>
      <c r="K105" s="492">
        <f>(4400*1.16)+(500*1.16)</f>
        <v>5684</v>
      </c>
      <c r="L105" s="491" t="s">
        <v>98</v>
      </c>
    </row>
    <row r="106" spans="1:12" s="375" customFormat="1" ht="24.75" customHeight="1">
      <c r="A106" s="100"/>
      <c r="B106" s="100" t="s">
        <v>263</v>
      </c>
      <c r="C106" s="105" t="s">
        <v>98</v>
      </c>
      <c r="D106" s="489">
        <f>(3938.99+500)*1.18</f>
        <v>5238.01</v>
      </c>
      <c r="E106" s="334" t="s">
        <v>809</v>
      </c>
      <c r="F106" s="326"/>
      <c r="G106" s="374"/>
      <c r="H106" s="493" t="s">
        <v>263</v>
      </c>
      <c r="I106" s="494"/>
      <c r="J106" s="435"/>
      <c r="K106" s="489">
        <f>(3938.99+500)*1.18</f>
        <v>5238.01</v>
      </c>
      <c r="L106" s="494" t="s">
        <v>98</v>
      </c>
    </row>
    <row r="107" spans="1:12" s="375" customFormat="1" ht="24.75" customHeight="1">
      <c r="A107" s="100"/>
      <c r="B107" s="100" t="s">
        <v>278</v>
      </c>
      <c r="C107" s="105" t="s">
        <v>98</v>
      </c>
      <c r="D107" s="489">
        <f>(3991.53+500)*1.18</f>
        <v>5300.01</v>
      </c>
      <c r="E107" s="334" t="s">
        <v>809</v>
      </c>
      <c r="F107" s="326"/>
      <c r="G107" s="374"/>
      <c r="H107" s="493" t="s">
        <v>278</v>
      </c>
      <c r="I107" s="494"/>
      <c r="J107" s="435"/>
      <c r="K107" s="489">
        <f>(3991.53+500)*1.18</f>
        <v>5300.01</v>
      </c>
      <c r="L107" s="494" t="s">
        <v>98</v>
      </c>
    </row>
    <row r="108" spans="1:12" s="375" customFormat="1" ht="24.75" customHeight="1">
      <c r="A108" s="100"/>
      <c r="B108" s="100" t="s">
        <v>279</v>
      </c>
      <c r="C108" s="105" t="s">
        <v>98</v>
      </c>
      <c r="D108" s="489">
        <f>(4203.39+500)*1.18</f>
        <v>5550</v>
      </c>
      <c r="E108" s="334" t="s">
        <v>809</v>
      </c>
      <c r="F108" s="326"/>
      <c r="G108" s="374"/>
      <c r="H108" s="493" t="s">
        <v>279</v>
      </c>
      <c r="I108" s="494"/>
      <c r="J108" s="435"/>
      <c r="K108" s="489">
        <f>(4203.39+500)*1.18</f>
        <v>5550</v>
      </c>
      <c r="L108" s="494" t="s">
        <v>98</v>
      </c>
    </row>
    <row r="109" spans="1:12" s="375" customFormat="1" ht="24.75" customHeight="1">
      <c r="A109" s="100"/>
      <c r="B109" s="100" t="s">
        <v>280</v>
      </c>
      <c r="C109" s="105" t="s">
        <v>98</v>
      </c>
      <c r="D109" s="489">
        <f>(5350*1.16)+(500*1.16)</f>
        <v>6786</v>
      </c>
      <c r="E109" s="334"/>
      <c r="F109" s="326"/>
      <c r="G109" s="374"/>
      <c r="H109" s="490" t="s">
        <v>280</v>
      </c>
      <c r="I109" s="491"/>
      <c r="J109" s="435"/>
      <c r="K109" s="489">
        <f>(5350*1.16)+(500*1.16)</f>
        <v>6786</v>
      </c>
      <c r="L109" s="491" t="s">
        <v>98</v>
      </c>
    </row>
    <row r="110" spans="1:12" s="375" customFormat="1" ht="24.75" customHeight="1">
      <c r="A110" s="100"/>
      <c r="B110" s="100" t="s">
        <v>281</v>
      </c>
      <c r="C110" s="105" t="s">
        <v>98</v>
      </c>
      <c r="D110" s="489">
        <f>(5500*1.16)+(500*1.16)</f>
        <v>6960</v>
      </c>
      <c r="E110" s="334"/>
      <c r="F110" s="326"/>
      <c r="G110" s="374"/>
      <c r="H110" s="490" t="s">
        <v>281</v>
      </c>
      <c r="I110" s="491"/>
      <c r="J110" s="435"/>
      <c r="K110" s="489">
        <f>(5500*1.16)+(500*1.16)</f>
        <v>6960</v>
      </c>
      <c r="L110" s="491" t="s">
        <v>98</v>
      </c>
    </row>
    <row r="111" spans="1:12" s="375" customFormat="1" ht="30" customHeight="1">
      <c r="A111" s="100"/>
      <c r="B111" s="309" t="s">
        <v>23</v>
      </c>
      <c r="C111" s="105" t="s">
        <v>98</v>
      </c>
      <c r="D111" s="498">
        <f>4513.56*1.18+500*1.18</f>
        <v>5916</v>
      </c>
      <c r="E111" s="334" t="s">
        <v>809</v>
      </c>
      <c r="F111" s="326"/>
      <c r="G111" s="374"/>
      <c r="H111" s="495" t="s">
        <v>1034</v>
      </c>
      <c r="I111" s="496"/>
      <c r="J111" s="497"/>
      <c r="K111" s="498">
        <f>4513.56*1.18+500*1.18</f>
        <v>5916</v>
      </c>
      <c r="L111" s="496" t="s">
        <v>98</v>
      </c>
    </row>
    <row r="112" spans="1:12" s="375" customFormat="1" ht="24.75" customHeight="1">
      <c r="A112" s="100"/>
      <c r="B112" s="100" t="s">
        <v>282</v>
      </c>
      <c r="C112" s="105" t="s">
        <v>98</v>
      </c>
      <c r="D112" s="501">
        <f>4588.14*1.18+500*1.18</f>
        <v>6004.01</v>
      </c>
      <c r="E112" s="329"/>
      <c r="F112" s="326"/>
      <c r="G112" s="374"/>
      <c r="H112" s="499" t="s">
        <v>282</v>
      </c>
      <c r="I112" s="500"/>
      <c r="J112" s="497"/>
      <c r="K112" s="501">
        <f>4588.14*1.18+500*1.18</f>
        <v>6004.01</v>
      </c>
      <c r="L112" s="500" t="s">
        <v>98</v>
      </c>
    </row>
    <row r="113" spans="1:12" s="375" customFormat="1" ht="24.75" customHeight="1">
      <c r="A113" s="100"/>
      <c r="B113" s="100" t="s">
        <v>283</v>
      </c>
      <c r="C113" s="105" t="s">
        <v>98</v>
      </c>
      <c r="D113" s="501"/>
      <c r="E113" s="329"/>
      <c r="F113" s="326"/>
      <c r="G113" s="374"/>
      <c r="H113" s="499" t="s">
        <v>283</v>
      </c>
      <c r="I113" s="500"/>
      <c r="J113" s="497"/>
      <c r="K113" s="501"/>
      <c r="L113" s="500" t="s">
        <v>98</v>
      </c>
    </row>
    <row r="114" spans="1:12" s="375" customFormat="1" ht="24.75" customHeight="1">
      <c r="A114" s="100"/>
      <c r="B114" s="100" t="s">
        <v>284</v>
      </c>
      <c r="C114" s="105" t="s">
        <v>98</v>
      </c>
      <c r="D114" s="501">
        <f>4961.87*1.18+500*1.18</f>
        <v>6445.01</v>
      </c>
      <c r="E114" s="329"/>
      <c r="F114" s="326"/>
      <c r="G114" s="374"/>
      <c r="H114" s="499" t="s">
        <v>284</v>
      </c>
      <c r="I114" s="500"/>
      <c r="J114" s="497"/>
      <c r="K114" s="501">
        <f>4961.87*1.18+500*1.18</f>
        <v>6445.01</v>
      </c>
      <c r="L114" s="500" t="s">
        <v>98</v>
      </c>
    </row>
    <row r="115" spans="1:12" s="375" customFormat="1" ht="24.75" customHeight="1">
      <c r="A115" s="100"/>
      <c r="B115" s="100" t="s">
        <v>285</v>
      </c>
      <c r="C115" s="105" t="s">
        <v>98</v>
      </c>
      <c r="D115" s="489"/>
      <c r="E115" s="329"/>
      <c r="F115" s="326"/>
      <c r="G115" s="374"/>
      <c r="H115" s="490" t="s">
        <v>285</v>
      </c>
      <c r="I115" s="491"/>
      <c r="J115" s="435"/>
      <c r="K115" s="489"/>
      <c r="L115" s="491" t="s">
        <v>98</v>
      </c>
    </row>
    <row r="116" spans="1:12" s="375" customFormat="1" ht="24.75" customHeight="1">
      <c r="A116" s="100"/>
      <c r="B116" s="100" t="s">
        <v>286</v>
      </c>
      <c r="C116" s="105" t="s">
        <v>98</v>
      </c>
      <c r="D116" s="489">
        <f>(7300*1.16)+(500*1.16)</f>
        <v>9048</v>
      </c>
      <c r="E116" s="329"/>
      <c r="F116" s="326"/>
      <c r="G116" s="374"/>
      <c r="H116" s="490" t="s">
        <v>286</v>
      </c>
      <c r="I116" s="491"/>
      <c r="J116" s="435"/>
      <c r="K116" s="489">
        <f>(7300*1.16)+(500*1.16)</f>
        <v>9048</v>
      </c>
      <c r="L116" s="491" t="s">
        <v>98</v>
      </c>
    </row>
    <row r="117" spans="1:12" s="375" customFormat="1" ht="24.75" customHeight="1">
      <c r="A117" s="378"/>
      <c r="B117" s="100" t="s">
        <v>287</v>
      </c>
      <c r="C117" s="105" t="s">
        <v>98</v>
      </c>
      <c r="D117" s="489">
        <f>(7500*1.16)+(500*1.16)</f>
        <v>9280</v>
      </c>
      <c r="E117" s="336"/>
      <c r="F117" s="319"/>
      <c r="G117" s="374"/>
      <c r="H117" s="490" t="s">
        <v>287</v>
      </c>
      <c r="I117" s="491"/>
      <c r="J117" s="435"/>
      <c r="K117" s="489">
        <f>(7500*1.16)+(500*1.16)</f>
        <v>9280</v>
      </c>
      <c r="L117" s="491" t="s">
        <v>98</v>
      </c>
    </row>
    <row r="118" spans="1:7" ht="24.75" customHeight="1">
      <c r="A118" s="96"/>
      <c r="B118" s="100" t="s">
        <v>676</v>
      </c>
      <c r="C118" s="680" t="s">
        <v>655</v>
      </c>
      <c r="D118" s="681">
        <v>1300</v>
      </c>
      <c r="E118" s="336"/>
      <c r="G118" s="311"/>
    </row>
    <row r="119" spans="1:7" s="255" customFormat="1" ht="24" customHeight="1">
      <c r="A119" s="251"/>
      <c r="B119" s="252" t="s">
        <v>239</v>
      </c>
      <c r="C119" s="253" t="s">
        <v>164</v>
      </c>
      <c r="D119" s="252">
        <f>3369.71*1.25*1.17</f>
        <v>4928.2</v>
      </c>
      <c r="E119" s="321"/>
      <c r="F119" s="318"/>
      <c r="G119" s="310"/>
    </row>
    <row r="120" spans="1:7" s="255" customFormat="1" ht="24" customHeight="1">
      <c r="A120" s="251"/>
      <c r="B120" s="252" t="s">
        <v>656</v>
      </c>
      <c r="C120" s="253" t="s">
        <v>164</v>
      </c>
      <c r="D120" s="345">
        <f>653.82*1.25</f>
        <v>817.28</v>
      </c>
      <c r="E120" s="321"/>
      <c r="F120" s="318"/>
      <c r="G120" s="310"/>
    </row>
    <row r="121" spans="1:7" s="375" customFormat="1" ht="24" customHeight="1">
      <c r="A121" s="378"/>
      <c r="B121" s="252" t="s">
        <v>657</v>
      </c>
      <c r="C121" s="253" t="s">
        <v>164</v>
      </c>
      <c r="D121" s="346">
        <f>612.96*1.25</f>
        <v>766.2</v>
      </c>
      <c r="E121" s="319"/>
      <c r="F121" s="319"/>
      <c r="G121" s="374"/>
    </row>
    <row r="122" spans="1:10" s="375" customFormat="1" ht="24" customHeight="1">
      <c r="A122" s="378"/>
      <c r="B122" s="97" t="s">
        <v>658</v>
      </c>
      <c r="C122" s="248" t="s">
        <v>100</v>
      </c>
      <c r="D122" s="249">
        <v>9100</v>
      </c>
      <c r="E122" s="319"/>
      <c r="F122" s="319"/>
      <c r="G122" s="374"/>
      <c r="J122" s="375">
        <f>400/20</f>
        <v>20</v>
      </c>
    </row>
    <row r="123" spans="1:7" s="255" customFormat="1" ht="24" customHeight="1">
      <c r="A123" s="251"/>
      <c r="B123" s="265" t="s">
        <v>662</v>
      </c>
      <c r="C123" s="258" t="s">
        <v>100</v>
      </c>
      <c r="D123" s="266">
        <f>70*1.18</f>
        <v>82.6</v>
      </c>
      <c r="E123" s="318"/>
      <c r="F123" s="318"/>
      <c r="G123" s="310"/>
    </row>
    <row r="124" spans="1:7" s="255" customFormat="1" ht="24" customHeight="1">
      <c r="A124" s="251"/>
      <c r="B124" s="265" t="s">
        <v>681</v>
      </c>
      <c r="C124" s="258" t="s">
        <v>692</v>
      </c>
      <c r="D124" s="266">
        <v>21.34</v>
      </c>
      <c r="E124" s="318"/>
      <c r="F124" s="318"/>
      <c r="G124" s="315"/>
    </row>
    <row r="125" spans="1:6" s="255" customFormat="1" ht="24" customHeight="1">
      <c r="A125" s="251"/>
      <c r="B125" s="257" t="s">
        <v>689</v>
      </c>
      <c r="C125" s="258" t="s">
        <v>98</v>
      </c>
      <c r="D125" s="267">
        <f>4.5+2</f>
        <v>6.5</v>
      </c>
      <c r="E125" s="318"/>
      <c r="F125" s="318"/>
    </row>
    <row r="126" spans="1:6" s="375" customFormat="1" ht="21.75" customHeight="1">
      <c r="A126" s="378"/>
      <c r="B126" s="108" t="s">
        <v>690</v>
      </c>
      <c r="C126" s="248" t="s">
        <v>98</v>
      </c>
      <c r="D126" s="340">
        <f>150/25</f>
        <v>6</v>
      </c>
      <c r="E126" s="319"/>
      <c r="F126" s="319"/>
    </row>
    <row r="127" spans="1:6" s="255" customFormat="1" ht="22.5" customHeight="1">
      <c r="A127" s="251"/>
      <c r="B127" s="257" t="s">
        <v>787</v>
      </c>
      <c r="C127" s="258" t="s">
        <v>91</v>
      </c>
      <c r="D127" s="267">
        <f>25.42*1.18</f>
        <v>30</v>
      </c>
      <c r="E127" s="379"/>
      <c r="F127" s="318"/>
    </row>
    <row r="128" spans="1:5" s="255" customFormat="1" ht="22.5" customHeight="1">
      <c r="A128" s="251"/>
      <c r="B128" s="257" t="s">
        <v>884</v>
      </c>
      <c r="C128" s="258" t="s">
        <v>91</v>
      </c>
      <c r="D128" s="340">
        <v>31.8</v>
      </c>
      <c r="E128" s="318" t="s">
        <v>1061</v>
      </c>
    </row>
    <row r="129" spans="1:6" s="255" customFormat="1" ht="22.5" customHeight="1">
      <c r="A129" s="251"/>
      <c r="B129" s="257" t="s">
        <v>677</v>
      </c>
      <c r="C129" s="258" t="s">
        <v>91</v>
      </c>
      <c r="D129" s="267">
        <v>50</v>
      </c>
      <c r="E129" s="318"/>
      <c r="F129" s="318"/>
    </row>
    <row r="130" spans="1:6" s="375" customFormat="1" ht="25.5" customHeight="1">
      <c r="A130" s="378"/>
      <c r="B130" s="108" t="s">
        <v>678</v>
      </c>
      <c r="C130" s="248" t="s">
        <v>100</v>
      </c>
      <c r="D130" s="703">
        <v>35</v>
      </c>
      <c r="E130" s="319"/>
      <c r="F130" s="319"/>
    </row>
    <row r="131" spans="1:6" s="255" customFormat="1" ht="25.5" customHeight="1">
      <c r="A131" s="251"/>
      <c r="B131" s="257" t="s">
        <v>217</v>
      </c>
      <c r="C131" s="258" t="s">
        <v>218</v>
      </c>
      <c r="D131" s="384">
        <v>1750</v>
      </c>
      <c r="E131" s="318"/>
      <c r="F131" s="318"/>
    </row>
    <row r="132" spans="1:5" ht="21" customHeight="1">
      <c r="A132" s="96"/>
      <c r="B132" s="108" t="s">
        <v>295</v>
      </c>
      <c r="C132" s="248" t="s">
        <v>100</v>
      </c>
      <c r="D132" s="250">
        <f>125</f>
        <v>125</v>
      </c>
      <c r="E132" s="319"/>
    </row>
    <row r="133" spans="1:5" ht="23.25" customHeight="1">
      <c r="A133" s="96"/>
      <c r="B133" s="108" t="s">
        <v>694</v>
      </c>
      <c r="C133" s="248" t="s">
        <v>91</v>
      </c>
      <c r="D133" s="250">
        <v>100</v>
      </c>
      <c r="E133" s="319"/>
    </row>
    <row r="134" spans="1:5" ht="23.25" customHeight="1">
      <c r="A134" s="96"/>
      <c r="B134" s="108" t="s">
        <v>695</v>
      </c>
      <c r="C134" s="248" t="s">
        <v>100</v>
      </c>
      <c r="D134" s="250">
        <v>15</v>
      </c>
      <c r="E134" s="319"/>
    </row>
    <row r="135" spans="1:7" ht="23.25" customHeight="1">
      <c r="A135" s="96"/>
      <c r="B135" s="108" t="s">
        <v>696</v>
      </c>
      <c r="C135" s="248" t="s">
        <v>98</v>
      </c>
      <c r="D135" s="250">
        <v>400</v>
      </c>
      <c r="E135" s="319"/>
      <c r="G135" s="1">
        <f>72*1.18*3.81*110/1.18</f>
        <v>30175.2</v>
      </c>
    </row>
    <row r="136" spans="1:5" ht="27.75" customHeight="1">
      <c r="A136" s="96"/>
      <c r="B136" s="108" t="s">
        <v>697</v>
      </c>
      <c r="C136" s="248" t="s">
        <v>100</v>
      </c>
      <c r="D136" s="250">
        <v>1</v>
      </c>
      <c r="E136" s="319"/>
    </row>
    <row r="137" spans="1:7" ht="23.25" customHeight="1">
      <c r="A137" s="96"/>
      <c r="B137" s="257" t="s">
        <v>759</v>
      </c>
      <c r="C137" s="258" t="s">
        <v>89</v>
      </c>
      <c r="D137" s="267">
        <f>74131.2</f>
        <v>74131.2</v>
      </c>
      <c r="E137" s="319"/>
      <c r="G137" s="349">
        <f>72*1.18*3.81*110</f>
        <v>35606.74</v>
      </c>
    </row>
    <row r="138" spans="1:7" s="375" customFormat="1" ht="28.5" customHeight="1">
      <c r="A138" s="127"/>
      <c r="B138" s="252" t="s">
        <v>291</v>
      </c>
      <c r="C138" s="98" t="s">
        <v>92</v>
      </c>
      <c r="D138" s="358">
        <f>2783*1.18</f>
        <v>3283.94</v>
      </c>
      <c r="E138" s="319"/>
      <c r="F138" s="319"/>
      <c r="G138" s="374"/>
    </row>
    <row r="139" spans="1:7" s="375" customFormat="1" ht="28.5" customHeight="1">
      <c r="A139" s="100"/>
      <c r="B139" s="252" t="s">
        <v>93</v>
      </c>
      <c r="C139" s="103" t="s">
        <v>92</v>
      </c>
      <c r="D139" s="358">
        <f>3267*1.18</f>
        <v>3855.06</v>
      </c>
      <c r="E139" s="319"/>
      <c r="F139" s="319"/>
      <c r="G139" s="374"/>
    </row>
    <row r="140" spans="1:7" s="255" customFormat="1" ht="28.5" customHeight="1">
      <c r="A140" s="261"/>
      <c r="B140" s="252" t="s">
        <v>94</v>
      </c>
      <c r="C140" s="291" t="s">
        <v>92</v>
      </c>
      <c r="D140" s="358">
        <f>5687*1.18</f>
        <v>6710.66</v>
      </c>
      <c r="E140" s="318"/>
      <c r="F140" s="318"/>
      <c r="G140" s="310"/>
    </row>
    <row r="141" spans="1:7" s="255" customFormat="1" ht="28.5" customHeight="1">
      <c r="A141" s="261"/>
      <c r="B141" s="252" t="s">
        <v>95</v>
      </c>
      <c r="C141" s="291" t="s">
        <v>92</v>
      </c>
      <c r="D141" s="376">
        <f>6292*1.18</f>
        <v>7424.56</v>
      </c>
      <c r="E141" s="318"/>
      <c r="F141" s="318"/>
      <c r="G141" s="310"/>
    </row>
    <row r="142" spans="1:7" s="255" customFormat="1" ht="28.5" customHeight="1">
      <c r="A142" s="261"/>
      <c r="B142" s="252" t="s">
        <v>26</v>
      </c>
      <c r="C142" s="291" t="s">
        <v>92</v>
      </c>
      <c r="D142" s="358">
        <f>7865*1.18</f>
        <v>9280.7</v>
      </c>
      <c r="E142" s="318"/>
      <c r="F142" s="318"/>
      <c r="G142" s="310"/>
    </row>
    <row r="143" spans="1:7" s="375" customFormat="1" ht="28.5" customHeight="1">
      <c r="A143" s="100"/>
      <c r="B143" s="252" t="s">
        <v>27</v>
      </c>
      <c r="C143" s="103" t="s">
        <v>92</v>
      </c>
      <c r="D143" s="377">
        <f>16940*1.18</f>
        <v>19989.2</v>
      </c>
      <c r="E143" s="319"/>
      <c r="F143" s="319"/>
      <c r="G143" s="374"/>
    </row>
    <row r="144" spans="1:7" s="375" customFormat="1" ht="28.5" customHeight="1">
      <c r="A144" s="100"/>
      <c r="B144" s="252" t="s">
        <v>226</v>
      </c>
      <c r="C144" s="103" t="s">
        <v>92</v>
      </c>
      <c r="D144" s="377">
        <f>19360*1.18</f>
        <v>22844.8</v>
      </c>
      <c r="E144" s="328"/>
      <c r="F144" s="320"/>
      <c r="G144" s="374"/>
    </row>
    <row r="145" spans="1:7" s="375" customFormat="1" ht="28.5" customHeight="1">
      <c r="A145" s="100"/>
      <c r="B145" s="252" t="s">
        <v>227</v>
      </c>
      <c r="C145" s="103" t="s">
        <v>92</v>
      </c>
      <c r="D145" s="377">
        <f>21720*1.18</f>
        <v>25629.6</v>
      </c>
      <c r="E145" s="331"/>
      <c r="F145" s="324"/>
      <c r="G145" s="374"/>
    </row>
    <row r="146" spans="1:7" ht="28.5" customHeight="1">
      <c r="A146" s="127"/>
      <c r="B146" s="252" t="s">
        <v>208</v>
      </c>
      <c r="C146" s="98" t="s">
        <v>92</v>
      </c>
      <c r="D146" s="254">
        <f>3520*1.18/1.1</f>
        <v>3776</v>
      </c>
      <c r="E146" s="319"/>
      <c r="G146" s="311"/>
    </row>
    <row r="147" spans="1:7" ht="28.5" customHeight="1">
      <c r="A147" s="100"/>
      <c r="B147" s="252" t="s">
        <v>209</v>
      </c>
      <c r="C147" s="103" t="s">
        <v>92</v>
      </c>
      <c r="D147" s="102">
        <f>4180*1.18/1.1</f>
        <v>4484</v>
      </c>
      <c r="E147" s="319"/>
      <c r="G147" s="311"/>
    </row>
    <row r="148" spans="1:7" s="255" customFormat="1" ht="28.5" customHeight="1">
      <c r="A148" s="261"/>
      <c r="B148" s="252" t="s">
        <v>210</v>
      </c>
      <c r="C148" s="291" t="s">
        <v>92</v>
      </c>
      <c r="D148" s="263">
        <f>9900*1.18/1.1</f>
        <v>10620</v>
      </c>
      <c r="E148" s="318"/>
      <c r="F148" s="318"/>
      <c r="G148" s="310"/>
    </row>
    <row r="149" spans="1:7" s="255" customFormat="1" ht="28.5" customHeight="1">
      <c r="A149" s="261"/>
      <c r="B149" s="252" t="s">
        <v>211</v>
      </c>
      <c r="C149" s="291" t="s">
        <v>92</v>
      </c>
      <c r="D149" s="292">
        <f>11550*1.18/1.1</f>
        <v>12390</v>
      </c>
      <c r="E149" s="318"/>
      <c r="F149" s="318"/>
      <c r="G149" s="310"/>
    </row>
    <row r="150" spans="1:7" s="255" customFormat="1" ht="28.5" customHeight="1">
      <c r="A150" s="261"/>
      <c r="B150" s="252" t="s">
        <v>212</v>
      </c>
      <c r="C150" s="291" t="s">
        <v>92</v>
      </c>
      <c r="D150" s="263">
        <f>13200*1.18/1.1</f>
        <v>14160</v>
      </c>
      <c r="E150" s="318"/>
      <c r="F150" s="318"/>
      <c r="G150" s="310"/>
    </row>
    <row r="151" spans="1:7" ht="28.5" customHeight="1">
      <c r="A151" s="100"/>
      <c r="B151" s="252" t="s">
        <v>213</v>
      </c>
      <c r="C151" s="103" t="s">
        <v>92</v>
      </c>
      <c r="D151" s="343">
        <f>19800*1.18/1.1</f>
        <v>21240</v>
      </c>
      <c r="E151" s="319"/>
      <c r="G151" s="311"/>
    </row>
    <row r="152" spans="1:7" ht="28.5" customHeight="1">
      <c r="A152" s="100"/>
      <c r="B152" s="252" t="s">
        <v>214</v>
      </c>
      <c r="C152" s="103" t="s">
        <v>92</v>
      </c>
      <c r="D152" s="343">
        <f>22000*1.18/1.1</f>
        <v>23600</v>
      </c>
      <c r="E152" s="328"/>
      <c r="F152" s="320"/>
      <c r="G152" s="311"/>
    </row>
    <row r="153" spans="1:7" ht="28.5" customHeight="1">
      <c r="A153" s="100"/>
      <c r="B153" s="252" t="s">
        <v>215</v>
      </c>
      <c r="C153" s="103" t="s">
        <v>92</v>
      </c>
      <c r="D153" s="343">
        <f>24200*1.18/1.1</f>
        <v>25960</v>
      </c>
      <c r="E153" s="331"/>
      <c r="F153" s="324"/>
      <c r="G153" s="311"/>
    </row>
    <row r="154" spans="1:13" s="507" customFormat="1" ht="28.5" customHeight="1">
      <c r="A154" s="502"/>
      <c r="B154" s="503" t="s">
        <v>1039</v>
      </c>
      <c r="C154" s="504" t="s">
        <v>92</v>
      </c>
      <c r="D154" s="505">
        <f>22700*1.18/5.79</f>
        <v>4626.25</v>
      </c>
      <c r="E154" s="331"/>
      <c r="F154" s="320"/>
      <c r="G154" s="506"/>
      <c r="M154" s="507">
        <f>19/3.28</f>
        <v>5.79268292682927</v>
      </c>
    </row>
    <row r="155" spans="1:13" s="507" customFormat="1" ht="28.5" customHeight="1">
      <c r="A155" s="502"/>
      <c r="B155" s="503" t="s">
        <v>1040</v>
      </c>
      <c r="C155" s="504" t="s">
        <v>92</v>
      </c>
      <c r="D155" s="505">
        <f>26950*1.18/5.79</f>
        <v>5492.4</v>
      </c>
      <c r="E155" s="331"/>
      <c r="F155" s="320"/>
      <c r="G155" s="506"/>
      <c r="M155" s="507">
        <f>19/3.28</f>
        <v>5.79268292682927</v>
      </c>
    </row>
    <row r="156" spans="1:6" s="375" customFormat="1" ht="21" customHeight="1">
      <c r="A156" s="378"/>
      <c r="B156" s="108" t="s">
        <v>22</v>
      </c>
      <c r="C156" s="108"/>
      <c r="D156" s="250">
        <v>38</v>
      </c>
      <c r="E156" s="319"/>
      <c r="F156" s="319"/>
    </row>
    <row r="157" spans="1:6" s="375" customFormat="1" ht="21" customHeight="1">
      <c r="A157" s="378"/>
      <c r="B157" s="257" t="s">
        <v>756</v>
      </c>
      <c r="C157" s="258" t="s">
        <v>100</v>
      </c>
      <c r="D157" s="267">
        <f>1895*1.18</f>
        <v>2236.1</v>
      </c>
      <c r="E157" s="319"/>
      <c r="F157" s="319"/>
    </row>
    <row r="158" spans="1:6" s="375" customFormat="1" ht="21" customHeight="1">
      <c r="A158" s="378"/>
      <c r="B158" s="257" t="s">
        <v>757</v>
      </c>
      <c r="C158" s="258" t="s">
        <v>100</v>
      </c>
      <c r="D158" s="267">
        <f>225*1.18</f>
        <v>265.5</v>
      </c>
      <c r="E158" s="319"/>
      <c r="F158" s="319"/>
    </row>
    <row r="159" spans="1:6" s="375" customFormat="1" ht="21" customHeight="1">
      <c r="A159" s="378"/>
      <c r="B159" s="257" t="s">
        <v>810</v>
      </c>
      <c r="C159" s="258" t="s">
        <v>89</v>
      </c>
      <c r="D159" s="380">
        <f>5500*1.18</f>
        <v>6490</v>
      </c>
      <c r="E159" s="319" t="s">
        <v>811</v>
      </c>
      <c r="F159" s="319"/>
    </row>
    <row r="160" spans="1:6" s="375" customFormat="1" ht="21" customHeight="1">
      <c r="A160" s="378"/>
      <c r="B160" s="257" t="s">
        <v>812</v>
      </c>
      <c r="C160" s="258" t="s">
        <v>89</v>
      </c>
      <c r="D160" s="267">
        <f>8000*1.18</f>
        <v>9440</v>
      </c>
      <c r="E160" s="319" t="s">
        <v>811</v>
      </c>
      <c r="F160" s="319"/>
    </row>
    <row r="161" spans="1:6" s="375" customFormat="1" ht="21" customHeight="1">
      <c r="A161" s="378"/>
      <c r="B161" s="257" t="s">
        <v>758</v>
      </c>
      <c r="C161" s="258" t="s">
        <v>100</v>
      </c>
      <c r="D161" s="267">
        <f>109*1.18</f>
        <v>128.62</v>
      </c>
      <c r="E161" s="319"/>
      <c r="F161" s="319"/>
    </row>
    <row r="162" spans="1:6" s="375" customFormat="1" ht="20.25" customHeight="1">
      <c r="A162" s="378"/>
      <c r="B162" s="108" t="s">
        <v>20</v>
      </c>
      <c r="C162" s="248" t="s">
        <v>100</v>
      </c>
      <c r="D162" s="250">
        <v>15</v>
      </c>
      <c r="E162" s="319"/>
      <c r="F162" s="319"/>
    </row>
    <row r="163" spans="1:6" s="375" customFormat="1" ht="20.25" customHeight="1">
      <c r="A163" s="378"/>
      <c r="B163" s="257" t="s">
        <v>682</v>
      </c>
      <c r="C163" s="258" t="s">
        <v>100</v>
      </c>
      <c r="D163" s="267">
        <v>200</v>
      </c>
      <c r="E163" s="319"/>
      <c r="F163" s="319"/>
    </row>
    <row r="164" spans="1:6" s="375" customFormat="1" ht="20.25" customHeight="1">
      <c r="A164" s="378"/>
      <c r="B164" s="257" t="s">
        <v>683</v>
      </c>
      <c r="C164" s="258" t="s">
        <v>100</v>
      </c>
      <c r="D164" s="267">
        <f>165*1.18</f>
        <v>194.7</v>
      </c>
      <c r="E164" s="319"/>
      <c r="F164" s="319"/>
    </row>
    <row r="165" spans="1:6" s="375" customFormat="1" ht="20.25" customHeight="1">
      <c r="A165" s="378"/>
      <c r="B165" s="257" t="s">
        <v>684</v>
      </c>
      <c r="C165" s="258" t="s">
        <v>100</v>
      </c>
      <c r="D165" s="384">
        <v>850</v>
      </c>
      <c r="E165" s="319"/>
      <c r="F165" s="319"/>
    </row>
    <row r="166" spans="1:6" s="375" customFormat="1" ht="20.25" customHeight="1">
      <c r="A166" s="378"/>
      <c r="B166" s="257" t="s">
        <v>685</v>
      </c>
      <c r="C166" s="258" t="s">
        <v>100</v>
      </c>
      <c r="D166" s="267">
        <f>99*1.18</f>
        <v>116.82</v>
      </c>
      <c r="E166" s="319"/>
      <c r="F166" s="319"/>
    </row>
    <row r="167" spans="1:6" s="375" customFormat="1" ht="28.5" customHeight="1">
      <c r="A167" s="378"/>
      <c r="B167" s="344" t="s">
        <v>736</v>
      </c>
      <c r="C167" s="258" t="s">
        <v>89</v>
      </c>
      <c r="D167" s="267">
        <f>10169.49*1.18</f>
        <v>12000</v>
      </c>
      <c r="E167" s="335" t="s">
        <v>264</v>
      </c>
      <c r="F167" s="328"/>
    </row>
    <row r="168" spans="1:6" s="375" customFormat="1" ht="27.75" customHeight="1">
      <c r="A168" s="378"/>
      <c r="B168" s="344" t="s">
        <v>726</v>
      </c>
      <c r="C168" s="258" t="s">
        <v>89</v>
      </c>
      <c r="D168" s="267">
        <f>11271.19*1.18</f>
        <v>13300</v>
      </c>
      <c r="E168" s="319"/>
      <c r="F168" s="319"/>
    </row>
    <row r="169" spans="1:6" s="375" customFormat="1" ht="29.25" customHeight="1">
      <c r="A169" s="378"/>
      <c r="B169" s="344" t="s">
        <v>727</v>
      </c>
      <c r="C169" s="258" t="s">
        <v>89</v>
      </c>
      <c r="D169" s="267">
        <f>11949.16*1.18</f>
        <v>14100.01</v>
      </c>
      <c r="E169" s="319"/>
      <c r="F169" s="319"/>
    </row>
    <row r="170" spans="1:6" s="255" customFormat="1" ht="31.5" customHeight="1">
      <c r="A170" s="251"/>
      <c r="B170" s="344" t="s">
        <v>728</v>
      </c>
      <c r="C170" s="258" t="s">
        <v>89</v>
      </c>
      <c r="D170" s="267">
        <f>6991.53*1.18</f>
        <v>8250.01</v>
      </c>
      <c r="E170" s="318"/>
      <c r="F170" s="319"/>
    </row>
    <row r="171" spans="1:6" s="375" customFormat="1" ht="22.5" customHeight="1">
      <c r="A171" s="378"/>
      <c r="B171" s="108" t="s">
        <v>265</v>
      </c>
      <c r="C171" s="248" t="s">
        <v>167</v>
      </c>
      <c r="D171" s="250">
        <f>4.28*43.55*1.18</f>
        <v>219.94</v>
      </c>
      <c r="E171" s="319"/>
      <c r="F171" s="319"/>
    </row>
    <row r="172" spans="1:6" s="375" customFormat="1" ht="25.5" customHeight="1">
      <c r="A172" s="378"/>
      <c r="B172" s="108" t="s">
        <v>269</v>
      </c>
      <c r="C172" s="248" t="s">
        <v>100</v>
      </c>
      <c r="D172" s="108">
        <v>296.8</v>
      </c>
      <c r="E172" s="319"/>
      <c r="F172" s="319"/>
    </row>
    <row r="173" spans="1:6" s="375" customFormat="1" ht="20.25" customHeight="1">
      <c r="A173" s="108"/>
      <c r="B173" s="308" t="s">
        <v>270</v>
      </c>
      <c r="C173" s="248" t="s">
        <v>100</v>
      </c>
      <c r="D173" s="108">
        <v>44.24</v>
      </c>
      <c r="E173" s="319"/>
      <c r="F173" s="319"/>
    </row>
    <row r="174" spans="1:6" s="375" customFormat="1" ht="18.75" customHeight="1">
      <c r="A174" s="378"/>
      <c r="B174" s="108" t="s">
        <v>271</v>
      </c>
      <c r="C174" s="248" t="s">
        <v>100</v>
      </c>
      <c r="D174" s="257">
        <v>7.48</v>
      </c>
      <c r="E174" s="319"/>
      <c r="F174" s="319"/>
    </row>
    <row r="175" spans="1:6" s="375" customFormat="1" ht="18.75" customHeight="1">
      <c r="A175" s="378"/>
      <c r="B175" s="108" t="s">
        <v>272</v>
      </c>
      <c r="C175" s="248" t="s">
        <v>100</v>
      </c>
      <c r="D175" s="108">
        <v>2.63</v>
      </c>
      <c r="E175" s="319"/>
      <c r="F175" s="319"/>
    </row>
    <row r="176" spans="1:6" s="375" customFormat="1" ht="18.75" customHeight="1">
      <c r="A176" s="378"/>
      <c r="B176" s="108" t="s">
        <v>273</v>
      </c>
      <c r="C176" s="248" t="s">
        <v>100</v>
      </c>
      <c r="D176" s="257">
        <v>5.65</v>
      </c>
      <c r="E176" s="319"/>
      <c r="F176" s="319"/>
    </row>
    <row r="177" spans="1:6" s="375" customFormat="1" ht="18.75" customHeight="1">
      <c r="A177" s="378"/>
      <c r="B177" s="257" t="s">
        <v>711</v>
      </c>
      <c r="C177" s="258" t="s">
        <v>164</v>
      </c>
      <c r="D177" s="348">
        <f>766*1.25</f>
        <v>958</v>
      </c>
      <c r="E177" s="319">
        <f>766*1.25</f>
        <v>957.5</v>
      </c>
      <c r="F177" s="319"/>
    </row>
    <row r="178" spans="1:6" s="375" customFormat="1" ht="18.75" customHeight="1">
      <c r="A178" s="378"/>
      <c r="B178" s="257" t="s">
        <v>751</v>
      </c>
      <c r="C178" s="258" t="s">
        <v>167</v>
      </c>
      <c r="D178" s="267">
        <v>2700</v>
      </c>
      <c r="E178" s="319"/>
      <c r="F178" s="319"/>
    </row>
    <row r="179" spans="1:6" s="375" customFormat="1" ht="18.75" customHeight="1">
      <c r="A179" s="378"/>
      <c r="B179" s="257" t="s">
        <v>752</v>
      </c>
      <c r="C179" s="258" t="s">
        <v>167</v>
      </c>
      <c r="D179" s="267">
        <v>3500</v>
      </c>
      <c r="E179" s="319"/>
      <c r="F179" s="319"/>
    </row>
    <row r="180" spans="1:6" s="375" customFormat="1" ht="18.75" customHeight="1">
      <c r="A180" s="378"/>
      <c r="B180" s="257" t="s">
        <v>753</v>
      </c>
      <c r="C180" s="258" t="s">
        <v>167</v>
      </c>
      <c r="D180" s="267">
        <v>3800</v>
      </c>
      <c r="E180" s="319"/>
      <c r="F180" s="319"/>
    </row>
    <row r="181" spans="1:6" s="375" customFormat="1" ht="18.75" customHeight="1">
      <c r="A181" s="378"/>
      <c r="B181" s="257" t="s">
        <v>754</v>
      </c>
      <c r="C181" s="258" t="s">
        <v>167</v>
      </c>
      <c r="D181" s="267">
        <v>4000</v>
      </c>
      <c r="E181" s="319"/>
      <c r="F181" s="319"/>
    </row>
    <row r="182" spans="1:6" s="375" customFormat="1" ht="18.75" customHeight="1">
      <c r="A182" s="378"/>
      <c r="B182" s="257" t="s">
        <v>760</v>
      </c>
      <c r="C182" s="258" t="s">
        <v>100</v>
      </c>
      <c r="D182" s="267">
        <f>320*1.18</f>
        <v>377.6</v>
      </c>
      <c r="E182" s="319"/>
      <c r="F182" s="319"/>
    </row>
    <row r="183" spans="1:6" s="375" customFormat="1" ht="18.75" customHeight="1">
      <c r="A183" s="378"/>
      <c r="B183" s="257" t="s">
        <v>761</v>
      </c>
      <c r="C183" s="258" t="s">
        <v>100</v>
      </c>
      <c r="D183" s="267">
        <f>6385*1.18</f>
        <v>7534.3</v>
      </c>
      <c r="E183" s="319"/>
      <c r="F183" s="319"/>
    </row>
    <row r="184" spans="2:4" ht="14.25">
      <c r="B184" s="43"/>
      <c r="C184" s="43"/>
      <c r="D184" s="43"/>
    </row>
    <row r="185" spans="1:6" ht="18.75" customHeight="1">
      <c r="A185" s="96"/>
      <c r="B185" s="257" t="s">
        <v>803</v>
      </c>
      <c r="C185" s="258" t="s">
        <v>665</v>
      </c>
      <c r="D185" s="267">
        <f>(130*F2)/8</f>
        <v>813.8</v>
      </c>
      <c r="E185" s="319"/>
      <c r="F185" s="319"/>
    </row>
    <row r="186" spans="1:6" ht="18.75" customHeight="1">
      <c r="A186" s="96"/>
      <c r="B186" s="257" t="s">
        <v>802</v>
      </c>
      <c r="C186" s="258" t="s">
        <v>665</v>
      </c>
      <c r="D186" s="267">
        <f>(175*F2)/8</f>
        <v>1095.5</v>
      </c>
      <c r="E186" s="319"/>
      <c r="F186" s="319"/>
    </row>
    <row r="187" spans="2:4" ht="14.25">
      <c r="B187" s="43"/>
      <c r="C187" s="43"/>
      <c r="D187" s="43"/>
    </row>
    <row r="188" spans="2:4" ht="14.25">
      <c r="B188" s="43"/>
      <c r="C188" s="43"/>
      <c r="D188" s="43"/>
    </row>
    <row r="189" spans="2:4" ht="14.25">
      <c r="B189" s="43"/>
      <c r="C189" s="43"/>
      <c r="D189" s="43"/>
    </row>
    <row r="190" spans="2:4" ht="15">
      <c r="B190" s="260" t="s">
        <v>750</v>
      </c>
      <c r="C190" s="260"/>
      <c r="D190" s="43"/>
    </row>
    <row r="191" spans="2:4" ht="15">
      <c r="B191" s="260"/>
      <c r="C191" s="260"/>
      <c r="D191" s="43"/>
    </row>
    <row r="192" spans="2:4" ht="15">
      <c r="B192" s="260" t="s">
        <v>737</v>
      </c>
      <c r="C192" s="260"/>
      <c r="D192" s="43"/>
    </row>
    <row r="193" spans="2:4" ht="15">
      <c r="B193" s="260" t="s">
        <v>738</v>
      </c>
      <c r="C193" s="260" t="s">
        <v>745</v>
      </c>
      <c r="D193" s="43"/>
    </row>
    <row r="194" spans="2:4" ht="15">
      <c r="B194" s="260" t="s">
        <v>739</v>
      </c>
      <c r="C194" s="260" t="s">
        <v>746</v>
      </c>
      <c r="D194" s="43"/>
    </row>
    <row r="195" spans="2:4" ht="15">
      <c r="B195" s="260" t="s">
        <v>740</v>
      </c>
      <c r="C195" s="260" t="s">
        <v>747</v>
      </c>
      <c r="D195" s="43"/>
    </row>
    <row r="196" spans="2:4" ht="15">
      <c r="B196" s="260" t="s">
        <v>741</v>
      </c>
      <c r="C196" s="260" t="s">
        <v>748</v>
      </c>
      <c r="D196" s="43"/>
    </row>
    <row r="197" spans="2:4" ht="15">
      <c r="B197" s="260" t="s">
        <v>742</v>
      </c>
      <c r="C197" s="260" t="s">
        <v>749</v>
      </c>
      <c r="D197" s="43"/>
    </row>
    <row r="198" spans="2:4" ht="15">
      <c r="B198" s="260" t="s">
        <v>743</v>
      </c>
      <c r="C198" s="260" t="s">
        <v>744</v>
      </c>
      <c r="D198" s="43"/>
    </row>
    <row r="199" spans="2:4" ht="15">
      <c r="B199" s="260"/>
      <c r="C199" s="260"/>
      <c r="D199" s="43"/>
    </row>
    <row r="200" spans="2:4" ht="14.25">
      <c r="B200" s="43"/>
      <c r="C200" s="43"/>
      <c r="D200" s="43"/>
    </row>
    <row r="201" spans="2:4" ht="14.25">
      <c r="B201" s="43"/>
      <c r="C201" s="43"/>
      <c r="D201" s="43"/>
    </row>
    <row r="202" spans="1:7" s="255" customFormat="1" ht="26.25" customHeight="1">
      <c r="A202" s="251"/>
      <c r="B202" s="252" t="s">
        <v>762</v>
      </c>
      <c r="C202" s="264" t="s">
        <v>730</v>
      </c>
      <c r="D202" s="254">
        <f>4000*1.18</f>
        <v>4720</v>
      </c>
      <c r="E202" s="351">
        <v>41891</v>
      </c>
      <c r="F202" s="318"/>
      <c r="G202" s="310"/>
    </row>
    <row r="203" spans="1:7" s="255" customFormat="1" ht="26.25" customHeight="1">
      <c r="A203" s="251"/>
      <c r="B203" s="252" t="s">
        <v>763</v>
      </c>
      <c r="C203" s="264" t="s">
        <v>730</v>
      </c>
      <c r="D203" s="254">
        <f>5500*1.18</f>
        <v>6490</v>
      </c>
      <c r="E203" s="318"/>
      <c r="F203" s="318"/>
      <c r="G203" s="310"/>
    </row>
    <row r="204" spans="1:7" s="255" customFormat="1" ht="26.25" customHeight="1">
      <c r="A204" s="251"/>
      <c r="B204" s="252" t="s">
        <v>764</v>
      </c>
      <c r="C204" s="264" t="s">
        <v>730</v>
      </c>
      <c r="D204" s="254">
        <f>6300*1.18</f>
        <v>7434</v>
      </c>
      <c r="E204" s="318"/>
      <c r="F204" s="318"/>
      <c r="G204" s="310"/>
    </row>
    <row r="205" spans="2:4" ht="15">
      <c r="B205" s="350" t="s">
        <v>765</v>
      </c>
      <c r="C205" s="350"/>
      <c r="D205" s="350">
        <f>18000*1.18</f>
        <v>21240</v>
      </c>
    </row>
    <row r="206" spans="2:6" ht="14.25">
      <c r="B206" s="43" t="s">
        <v>784</v>
      </c>
      <c r="C206" s="43" t="s">
        <v>321</v>
      </c>
      <c r="D206" s="43">
        <v>1450</v>
      </c>
      <c r="E206" s="356">
        <v>42024</v>
      </c>
      <c r="F206" s="319" t="s">
        <v>785</v>
      </c>
    </row>
    <row r="207" spans="1:9" ht="15">
      <c r="A207" s="252"/>
      <c r="B207" s="264"/>
      <c r="C207" s="254"/>
      <c r="E207" s="43"/>
      <c r="F207" s="43"/>
      <c r="G207" s="43"/>
      <c r="H207" s="316"/>
      <c r="I207" s="317"/>
    </row>
    <row r="208" spans="2:4" ht="14.25">
      <c r="B208" s="43" t="s">
        <v>885</v>
      </c>
      <c r="C208" s="43" t="s">
        <v>296</v>
      </c>
      <c r="D208" s="385">
        <v>230</v>
      </c>
    </row>
    <row r="209" spans="2:4" ht="14.25">
      <c r="B209" s="43" t="s">
        <v>886</v>
      </c>
      <c r="C209" s="43" t="s">
        <v>100</v>
      </c>
      <c r="D209" s="385">
        <v>200</v>
      </c>
    </row>
    <row r="210" spans="2:4" ht="14.25">
      <c r="B210" s="114" t="s">
        <v>882</v>
      </c>
      <c r="C210" s="43" t="s">
        <v>301</v>
      </c>
      <c r="D210" s="385">
        <v>1378</v>
      </c>
    </row>
    <row r="211" spans="2:4" ht="14.25">
      <c r="B211" s="114" t="s">
        <v>883</v>
      </c>
      <c r="C211" s="43" t="s">
        <v>301</v>
      </c>
      <c r="D211" s="385">
        <v>250</v>
      </c>
    </row>
    <row r="212" spans="2:4" ht="14.25">
      <c r="B212" s="43" t="s">
        <v>887</v>
      </c>
      <c r="C212" s="43" t="s">
        <v>100</v>
      </c>
      <c r="D212" s="385">
        <v>25</v>
      </c>
    </row>
    <row r="213" spans="2:4" ht="14.25">
      <c r="B213" s="43" t="s">
        <v>888</v>
      </c>
      <c r="C213" s="43" t="s">
        <v>174</v>
      </c>
      <c r="D213" s="385">
        <v>40</v>
      </c>
    </row>
    <row r="214" spans="2:4" ht="14.25">
      <c r="B214" s="43" t="s">
        <v>1062</v>
      </c>
      <c r="C214" s="43" t="s">
        <v>174</v>
      </c>
      <c r="D214" s="385">
        <v>51</v>
      </c>
    </row>
    <row r="215" spans="2:4" ht="14.25">
      <c r="B215" s="43" t="s">
        <v>889</v>
      </c>
      <c r="C215" s="43" t="s">
        <v>100</v>
      </c>
      <c r="D215" s="385">
        <v>1700</v>
      </c>
    </row>
    <row r="216" spans="2:4" ht="14.25">
      <c r="B216" s="43" t="s">
        <v>1063</v>
      </c>
      <c r="C216" s="43" t="s">
        <v>1064</v>
      </c>
      <c r="D216" s="385">
        <v>35</v>
      </c>
    </row>
    <row r="217" spans="2:4" ht="12.75">
      <c r="B217" s="433" t="s">
        <v>736</v>
      </c>
      <c r="C217" s="434" t="s">
        <v>89</v>
      </c>
      <c r="D217" s="435">
        <v>12000</v>
      </c>
    </row>
    <row r="218" spans="2:4" ht="12.75">
      <c r="B218" s="433" t="s">
        <v>726</v>
      </c>
      <c r="C218" s="434" t="s">
        <v>89</v>
      </c>
      <c r="D218" s="435">
        <v>13300</v>
      </c>
    </row>
    <row r="219" spans="2:4" ht="12.75">
      <c r="B219" s="433" t="s">
        <v>727</v>
      </c>
      <c r="C219" s="434" t="s">
        <v>89</v>
      </c>
      <c r="D219" s="435">
        <v>14100.01</v>
      </c>
    </row>
    <row r="220" spans="2:4" ht="12.75">
      <c r="B220" s="433" t="s">
        <v>728</v>
      </c>
      <c r="C220" s="434" t="s">
        <v>89</v>
      </c>
      <c r="D220" s="435">
        <v>8250.01</v>
      </c>
    </row>
    <row r="221" spans="2:4" ht="14.25">
      <c r="B221" s="43"/>
      <c r="C221" s="43"/>
      <c r="D221" s="43"/>
    </row>
    <row r="222" spans="2:6" ht="14.25">
      <c r="B222" s="43"/>
      <c r="C222" s="43"/>
      <c r="D222" s="43"/>
      <c r="E222" s="1"/>
      <c r="F222" s="1"/>
    </row>
    <row r="223" spans="2:6" ht="14.25">
      <c r="B223" s="43"/>
      <c r="C223" s="43"/>
      <c r="D223" s="43"/>
      <c r="E223" s="1"/>
      <c r="F223" s="1"/>
    </row>
    <row r="224" spans="2:6" ht="14.25">
      <c r="B224" s="43"/>
      <c r="C224" s="43"/>
      <c r="D224" s="43"/>
      <c r="E224" s="1"/>
      <c r="F224" s="1"/>
    </row>
    <row r="225" spans="2:6" ht="14.25">
      <c r="B225" s="43"/>
      <c r="C225" s="43"/>
      <c r="D225" s="43"/>
      <c r="E225" s="1"/>
      <c r="F225" s="1"/>
    </row>
    <row r="226" spans="2:6" ht="14.25">
      <c r="B226" s="43"/>
      <c r="C226" s="43"/>
      <c r="D226" s="43"/>
      <c r="E226" s="1"/>
      <c r="F226" s="1"/>
    </row>
    <row r="227" spans="2:6" ht="14.25">
      <c r="B227" s="43"/>
      <c r="C227" s="43"/>
      <c r="D227" s="43"/>
      <c r="E227" s="1"/>
      <c r="F227" s="1"/>
    </row>
    <row r="228" spans="2:6" ht="14.25">
      <c r="B228" s="43"/>
      <c r="C228" s="43"/>
      <c r="D228" s="43"/>
      <c r="E228" s="1"/>
      <c r="F228" s="1"/>
    </row>
    <row r="229" spans="2:6" ht="14.25">
      <c r="B229" s="43"/>
      <c r="C229" s="43"/>
      <c r="D229" s="43"/>
      <c r="E229" s="1"/>
      <c r="F229" s="1"/>
    </row>
    <row r="230" spans="2:6" ht="14.25">
      <c r="B230" s="43"/>
      <c r="C230" s="43"/>
      <c r="D230" s="43"/>
      <c r="E230" s="1"/>
      <c r="F230" s="1"/>
    </row>
    <row r="231" spans="2:6" ht="14.25">
      <c r="B231" s="43"/>
      <c r="C231" s="43"/>
      <c r="D231" s="43"/>
      <c r="E231" s="1"/>
      <c r="F231" s="1"/>
    </row>
    <row r="232" spans="2:6" ht="14.25">
      <c r="B232" s="43"/>
      <c r="C232" s="43"/>
      <c r="D232" s="43"/>
      <c r="E232" s="1"/>
      <c r="F232" s="1"/>
    </row>
    <row r="233" spans="2:6" ht="14.25">
      <c r="B233" s="43"/>
      <c r="C233" s="43"/>
      <c r="D233" s="43"/>
      <c r="E233" s="1"/>
      <c r="F233" s="1"/>
    </row>
    <row r="234" spans="2:6" ht="14.25">
      <c r="B234" s="43"/>
      <c r="E234" s="1"/>
      <c r="F234" s="1"/>
    </row>
  </sheetData>
  <sheetProtection/>
  <mergeCells count="1">
    <mergeCell ref="A1:D1"/>
  </mergeCells>
  <printOptions horizontalCentered="1"/>
  <pageMargins left="0" right="0" top="0.5905511811023623" bottom="0.31496062992125984" header="0.5118110236220472" footer="0.5118110236220472"/>
  <pageSetup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T219"/>
  <sheetViews>
    <sheetView defaultGridColor="0" zoomScale="110" zoomScaleNormal="110" zoomScalePageLayoutView="0" colorId="22" workbookViewId="0" topLeftCell="A21">
      <selection activeCell="D29" sqref="D29"/>
    </sheetView>
  </sheetViews>
  <sheetFormatPr defaultColWidth="8.00390625" defaultRowHeight="12.75"/>
  <cols>
    <col min="1" max="1" width="4.57421875" style="7" customWidth="1"/>
    <col min="2" max="2" width="40.8515625" style="7" customWidth="1"/>
    <col min="3" max="3" width="13.00390625" style="7" customWidth="1"/>
    <col min="4" max="4" width="17.28125" style="420" customWidth="1"/>
    <col min="5" max="5" width="12.00390625" style="7" customWidth="1"/>
    <col min="6" max="6" width="13.28125" style="7" customWidth="1"/>
    <col min="7" max="7" width="12.140625" style="7" customWidth="1"/>
    <col min="8" max="8" width="12.57421875" style="7" customWidth="1"/>
    <col min="9" max="9" width="12.7109375" style="7" customWidth="1"/>
    <col min="10" max="10" width="12.7109375" style="360" customWidth="1"/>
    <col min="11" max="11" width="9.421875" style="360" customWidth="1"/>
    <col min="12" max="12" width="10.8515625" style="7" customWidth="1"/>
    <col min="13" max="16384" width="8.00390625" style="7" customWidth="1"/>
  </cols>
  <sheetData>
    <row r="2" spans="1:6" ht="12.75">
      <c r="A2" s="3"/>
      <c r="B2" s="2"/>
      <c r="C2" s="2"/>
      <c r="D2" s="402"/>
      <c r="E2" s="2"/>
      <c r="F2" s="8"/>
    </row>
    <row r="3" spans="1:8" ht="16.5" customHeight="1">
      <c r="A3" s="810" t="s">
        <v>796</v>
      </c>
      <c r="B3" s="810"/>
      <c r="C3" s="810"/>
      <c r="D3" s="810"/>
      <c r="E3" s="810"/>
      <c r="F3" s="810"/>
      <c r="G3" s="810"/>
      <c r="H3" s="810"/>
    </row>
    <row r="4" spans="1:8" ht="16.5" customHeight="1">
      <c r="A4" s="26"/>
      <c r="B4" s="26"/>
      <c r="C4" s="26"/>
      <c r="D4" s="26"/>
      <c r="E4" s="26"/>
      <c r="F4" s="26"/>
      <c r="G4" s="26"/>
      <c r="H4" s="26"/>
    </row>
    <row r="5" spans="1:6" ht="15.75">
      <c r="A5" s="4"/>
      <c r="B5" s="5"/>
      <c r="C5" s="5"/>
      <c r="D5" s="9"/>
      <c r="E5" s="5"/>
      <c r="F5" s="6"/>
    </row>
    <row r="6" spans="1:6" ht="12.75">
      <c r="A6" s="4"/>
      <c r="B6" s="386" t="s">
        <v>900</v>
      </c>
      <c r="C6" s="122"/>
      <c r="D6" s="123"/>
      <c r="E6" s="5"/>
      <c r="F6" s="6"/>
    </row>
    <row r="7" spans="1:6" ht="12.75">
      <c r="A7" s="4"/>
      <c r="B7" s="122"/>
      <c r="C7" s="122"/>
      <c r="D7" s="123"/>
      <c r="E7" s="5"/>
      <c r="F7" s="6"/>
    </row>
    <row r="8" spans="1:6" ht="12.75">
      <c r="A8" s="4"/>
      <c r="B8" s="122" t="s">
        <v>901</v>
      </c>
      <c r="C8" s="387">
        <v>1719.25</v>
      </c>
      <c r="D8" s="113" t="s">
        <v>172</v>
      </c>
      <c r="E8" s="5"/>
      <c r="F8" s="6"/>
    </row>
    <row r="9" spans="1:6" ht="12.75">
      <c r="A9" s="4"/>
      <c r="B9" s="122" t="s">
        <v>902</v>
      </c>
      <c r="C9" s="387">
        <v>1363.99</v>
      </c>
      <c r="D9" s="113" t="s">
        <v>172</v>
      </c>
      <c r="E9" s="5"/>
      <c r="F9" s="6"/>
    </row>
    <row r="10" spans="1:6" ht="12.75">
      <c r="A10" s="4"/>
      <c r="B10" s="122" t="s">
        <v>903</v>
      </c>
      <c r="C10" s="387">
        <v>1091.63</v>
      </c>
      <c r="D10" s="113" t="s">
        <v>172</v>
      </c>
      <c r="E10" s="5"/>
      <c r="F10" s="6"/>
    </row>
    <row r="11" spans="1:6" ht="12.75">
      <c r="A11" s="4"/>
      <c r="B11" s="122" t="s">
        <v>904</v>
      </c>
      <c r="C11" s="387">
        <v>956.17</v>
      </c>
      <c r="D11" s="113" t="s">
        <v>172</v>
      </c>
      <c r="E11" s="5"/>
      <c r="F11" s="6"/>
    </row>
    <row r="12" spans="1:6" ht="12.75">
      <c r="A12" s="4"/>
      <c r="B12" s="122" t="s">
        <v>905</v>
      </c>
      <c r="C12" s="387">
        <v>736.63</v>
      </c>
      <c r="D12" s="113" t="s">
        <v>172</v>
      </c>
      <c r="E12" s="5"/>
      <c r="F12" s="6"/>
    </row>
    <row r="13" spans="1:6" ht="12.75">
      <c r="A13" s="4"/>
      <c r="B13" s="122" t="s">
        <v>906</v>
      </c>
      <c r="C13" s="387">
        <v>626.76</v>
      </c>
      <c r="D13" s="113" t="s">
        <v>172</v>
      </c>
      <c r="E13" s="5"/>
      <c r="F13" s="6"/>
    </row>
    <row r="14" spans="1:6" ht="12.75">
      <c r="A14" s="4"/>
      <c r="B14" s="122" t="s">
        <v>907</v>
      </c>
      <c r="C14" s="387">
        <v>572.64</v>
      </c>
      <c r="D14" s="113" t="s">
        <v>172</v>
      </c>
      <c r="E14" s="5"/>
      <c r="F14" s="6"/>
    </row>
    <row r="15" spans="1:6" ht="16.5" thickBot="1">
      <c r="A15" s="4"/>
      <c r="B15" s="5"/>
      <c r="C15" s="5"/>
      <c r="D15" s="9"/>
      <c r="E15" s="5"/>
      <c r="F15" s="6"/>
    </row>
    <row r="16" spans="1:11" s="1" customFormat="1" ht="25.5" thickBot="1" thickTop="1">
      <c r="A16" s="53" t="s">
        <v>166</v>
      </c>
      <c r="B16" s="54" t="s">
        <v>86</v>
      </c>
      <c r="C16" s="54" t="s">
        <v>87</v>
      </c>
      <c r="D16" s="55" t="s">
        <v>102</v>
      </c>
      <c r="E16" s="54" t="s">
        <v>103</v>
      </c>
      <c r="F16" s="56" t="s">
        <v>252</v>
      </c>
      <c r="G16" s="56" t="s">
        <v>253</v>
      </c>
      <c r="H16" s="57" t="s">
        <v>254</v>
      </c>
      <c r="J16" s="349"/>
      <c r="K16" s="349"/>
    </row>
    <row r="17" spans="1:11" s="1" customFormat="1" ht="13.5" thickTop="1">
      <c r="A17" s="31"/>
      <c r="B17" s="32"/>
      <c r="C17" s="32"/>
      <c r="D17" s="33"/>
      <c r="E17" s="32"/>
      <c r="F17" s="34"/>
      <c r="G17" s="34"/>
      <c r="H17" s="35"/>
      <c r="J17" s="349"/>
      <c r="K17" s="349"/>
    </row>
    <row r="18" spans="1:11" s="255" customFormat="1" ht="19.5" customHeight="1">
      <c r="A18" s="37"/>
      <c r="B18" s="268" t="s">
        <v>72</v>
      </c>
      <c r="C18" s="269" t="s">
        <v>105</v>
      </c>
      <c r="D18" s="403">
        <v>100000</v>
      </c>
      <c r="E18" s="270">
        <f>D18*40/100</f>
        <v>40000</v>
      </c>
      <c r="F18" s="270">
        <f>D18+E18</f>
        <v>140000</v>
      </c>
      <c r="G18" s="271">
        <f>+F18/23.83</f>
        <v>5874.95</v>
      </c>
      <c r="H18" s="272">
        <f>+G18/8</f>
        <v>734.37</v>
      </c>
      <c r="J18" s="361"/>
      <c r="K18" s="361"/>
    </row>
    <row r="19" spans="1:11" s="275" customFormat="1" ht="19.5" customHeight="1">
      <c r="A19" s="37"/>
      <c r="B19" s="273" t="s">
        <v>104</v>
      </c>
      <c r="C19" s="269" t="s">
        <v>105</v>
      </c>
      <c r="D19" s="403">
        <v>60000</v>
      </c>
      <c r="E19" s="270">
        <f>D19*40/100</f>
        <v>24000</v>
      </c>
      <c r="F19" s="274">
        <f>SUM(D19:E19)</f>
        <v>84000</v>
      </c>
      <c r="G19" s="271">
        <f aca="true" t="shared" si="0" ref="G19:G45">+F19/23.83</f>
        <v>3524.97</v>
      </c>
      <c r="H19" s="272">
        <f aca="true" t="shared" si="1" ref="H19:H45">+G19/8</f>
        <v>440.62</v>
      </c>
      <c r="J19" s="362"/>
      <c r="K19" s="362"/>
    </row>
    <row r="20" spans="1:11" s="275" customFormat="1" ht="19.5" customHeight="1">
      <c r="A20" s="37"/>
      <c r="B20" s="273" t="s">
        <v>170</v>
      </c>
      <c r="C20" s="269" t="s">
        <v>105</v>
      </c>
      <c r="D20" s="403">
        <v>65000</v>
      </c>
      <c r="E20" s="270">
        <f>D20*40/100</f>
        <v>26000</v>
      </c>
      <c r="F20" s="274">
        <f>SUM(D20:E20)</f>
        <v>91000</v>
      </c>
      <c r="G20" s="271">
        <f t="shared" si="0"/>
        <v>3818.72</v>
      </c>
      <c r="H20" s="272">
        <f t="shared" si="1"/>
        <v>477.34</v>
      </c>
      <c r="J20" s="362"/>
      <c r="K20" s="362"/>
    </row>
    <row r="21" spans="1:8" ht="19.5" customHeight="1">
      <c r="A21" s="28"/>
      <c r="B21" s="39" t="s">
        <v>106</v>
      </c>
      <c r="C21" s="27" t="s">
        <v>105</v>
      </c>
      <c r="D21" s="404">
        <v>55000</v>
      </c>
      <c r="E21" s="41">
        <f aca="true" t="shared" si="2" ref="E21:E43">D21*40/100</f>
        <v>22000</v>
      </c>
      <c r="F21" s="42">
        <f>SUM(D21:E21)</f>
        <v>77000</v>
      </c>
      <c r="G21" s="38">
        <f t="shared" si="0"/>
        <v>3231.22</v>
      </c>
      <c r="H21" s="36">
        <f t="shared" si="1"/>
        <v>403.9</v>
      </c>
    </row>
    <row r="22" spans="1:8" ht="19.5" customHeight="1">
      <c r="A22" s="28"/>
      <c r="B22" s="39" t="s">
        <v>14</v>
      </c>
      <c r="C22" s="27" t="s">
        <v>105</v>
      </c>
      <c r="D22" s="404">
        <v>20000</v>
      </c>
      <c r="E22" s="41">
        <f t="shared" si="2"/>
        <v>8000</v>
      </c>
      <c r="F22" s="42">
        <f>SUM(D22:E22)</f>
        <v>28000</v>
      </c>
      <c r="G22" s="38">
        <f t="shared" si="0"/>
        <v>1174.99</v>
      </c>
      <c r="H22" s="36">
        <f t="shared" si="1"/>
        <v>146.87</v>
      </c>
    </row>
    <row r="23" spans="1:11" s="275" customFormat="1" ht="19.5" customHeight="1">
      <c r="A23" s="37"/>
      <c r="B23" s="273" t="s">
        <v>107</v>
      </c>
      <c r="C23" s="269" t="s">
        <v>105</v>
      </c>
      <c r="D23" s="403">
        <f>572.64*23.83</f>
        <v>13646.01</v>
      </c>
      <c r="E23" s="270">
        <f t="shared" si="2"/>
        <v>5458.4</v>
      </c>
      <c r="F23" s="274">
        <f>SUM(D23:E23)</f>
        <v>19104.41</v>
      </c>
      <c r="G23" s="271">
        <f t="shared" si="0"/>
        <v>801.7</v>
      </c>
      <c r="H23" s="272">
        <f t="shared" si="1"/>
        <v>100.21</v>
      </c>
      <c r="J23" s="362">
        <f>497.95*0.15</f>
        <v>74.69</v>
      </c>
      <c r="K23" s="362">
        <f>545.01*0.15</f>
        <v>81.75</v>
      </c>
    </row>
    <row r="24" spans="1:11" s="275" customFormat="1" ht="19.5" customHeight="1">
      <c r="A24" s="37"/>
      <c r="B24" s="273" t="s">
        <v>173</v>
      </c>
      <c r="C24" s="269" t="s">
        <v>105</v>
      </c>
      <c r="D24" s="403">
        <f>626.76*23.83</f>
        <v>14935.69</v>
      </c>
      <c r="E24" s="270">
        <f t="shared" si="2"/>
        <v>5974.28</v>
      </c>
      <c r="F24" s="274">
        <f>D24+E24</f>
        <v>20909.97</v>
      </c>
      <c r="G24" s="271">
        <f t="shared" si="0"/>
        <v>877.46</v>
      </c>
      <c r="H24" s="272">
        <f t="shared" si="1"/>
        <v>109.68</v>
      </c>
      <c r="J24" s="362">
        <f>497.95+74.6925</f>
        <v>572.64</v>
      </c>
      <c r="K24" s="362">
        <f>545.01+81.7515</f>
        <v>626.76</v>
      </c>
    </row>
    <row r="25" spans="1:11" s="275" customFormat="1" ht="19.5" customHeight="1">
      <c r="A25" s="37"/>
      <c r="B25" s="273" t="s">
        <v>78</v>
      </c>
      <c r="C25" s="269" t="s">
        <v>105</v>
      </c>
      <c r="D25" s="405">
        <f>D23</f>
        <v>13646.01</v>
      </c>
      <c r="E25" s="270">
        <f t="shared" si="2"/>
        <v>5458.4</v>
      </c>
      <c r="F25" s="274">
        <f aca="true" t="shared" si="3" ref="F25:F45">SUM(D25:E25)</f>
        <v>19104.41</v>
      </c>
      <c r="G25" s="271">
        <f t="shared" si="0"/>
        <v>801.7</v>
      </c>
      <c r="H25" s="272">
        <f t="shared" si="1"/>
        <v>100.21</v>
      </c>
      <c r="J25" s="362"/>
      <c r="K25" s="362"/>
    </row>
    <row r="26" spans="1:11" s="275" customFormat="1" ht="19.5" customHeight="1">
      <c r="A26" s="37"/>
      <c r="B26" s="273" t="s">
        <v>108</v>
      </c>
      <c r="C26" s="269" t="s">
        <v>105</v>
      </c>
      <c r="D26" s="403">
        <f>D25</f>
        <v>13646.01</v>
      </c>
      <c r="E26" s="270">
        <f t="shared" si="2"/>
        <v>5458.4</v>
      </c>
      <c r="F26" s="274">
        <f t="shared" si="3"/>
        <v>19104.41</v>
      </c>
      <c r="G26" s="271">
        <f t="shared" si="0"/>
        <v>801.7</v>
      </c>
      <c r="H26" s="272">
        <f t="shared" si="1"/>
        <v>100.21</v>
      </c>
      <c r="J26" s="362"/>
      <c r="K26" s="362"/>
    </row>
    <row r="27" spans="1:8" ht="19.5" customHeight="1">
      <c r="A27" s="28"/>
      <c r="B27" s="39" t="s">
        <v>109</v>
      </c>
      <c r="C27" s="27" t="s">
        <v>105</v>
      </c>
      <c r="D27" s="404">
        <f>626.76*23.83</f>
        <v>14935.69</v>
      </c>
      <c r="E27" s="41">
        <f t="shared" si="2"/>
        <v>5974.28</v>
      </c>
      <c r="F27" s="42">
        <f t="shared" si="3"/>
        <v>20909.97</v>
      </c>
      <c r="G27" s="38">
        <f t="shared" si="0"/>
        <v>877.46</v>
      </c>
      <c r="H27" s="36">
        <f t="shared" si="1"/>
        <v>109.68</v>
      </c>
    </row>
    <row r="28" spans="1:11" ht="19.5" customHeight="1">
      <c r="A28" s="28"/>
      <c r="B28" s="39" t="s">
        <v>81</v>
      </c>
      <c r="C28" s="27" t="s">
        <v>105</v>
      </c>
      <c r="D28" s="406">
        <f>1719.25*23.83</f>
        <v>40969.73</v>
      </c>
      <c r="E28" s="41">
        <f t="shared" si="2"/>
        <v>16387.89</v>
      </c>
      <c r="F28" s="42">
        <f t="shared" si="3"/>
        <v>57357.62</v>
      </c>
      <c r="G28" s="38">
        <f t="shared" si="0"/>
        <v>2406.95</v>
      </c>
      <c r="H28" s="36">
        <f t="shared" si="1"/>
        <v>300.87</v>
      </c>
      <c r="J28" s="360">
        <f>1495*0.15</f>
        <v>224.25</v>
      </c>
      <c r="K28" s="360">
        <f>1495+224.25</f>
        <v>1719.25</v>
      </c>
    </row>
    <row r="29" spans="1:11" s="275" customFormat="1" ht="19.5" customHeight="1">
      <c r="A29" s="37"/>
      <c r="B29" s="273" t="s">
        <v>199</v>
      </c>
      <c r="C29" s="269" t="s">
        <v>105</v>
      </c>
      <c r="D29" s="403">
        <f>1719.25*23.83</f>
        <v>40969.73</v>
      </c>
      <c r="E29" s="270">
        <f t="shared" si="2"/>
        <v>16387.89</v>
      </c>
      <c r="F29" s="274">
        <f t="shared" si="3"/>
        <v>57357.62</v>
      </c>
      <c r="G29" s="271">
        <f t="shared" si="0"/>
        <v>2406.95</v>
      </c>
      <c r="H29" s="272">
        <f t="shared" si="1"/>
        <v>300.87</v>
      </c>
      <c r="J29" s="362"/>
      <c r="K29" s="362"/>
    </row>
    <row r="30" spans="1:11" s="275" customFormat="1" ht="19.5" customHeight="1">
      <c r="A30" s="37"/>
      <c r="B30" s="273" t="s">
        <v>110</v>
      </c>
      <c r="C30" s="269" t="s">
        <v>105</v>
      </c>
      <c r="D30" s="405">
        <f>D25</f>
        <v>13646.01</v>
      </c>
      <c r="E30" s="270">
        <f t="shared" si="2"/>
        <v>5458.4</v>
      </c>
      <c r="F30" s="274">
        <f t="shared" si="3"/>
        <v>19104.41</v>
      </c>
      <c r="G30" s="271">
        <f t="shared" si="0"/>
        <v>801.7</v>
      </c>
      <c r="H30" s="272">
        <f t="shared" si="1"/>
        <v>100.21</v>
      </c>
      <c r="J30" s="362"/>
      <c r="K30" s="362"/>
    </row>
    <row r="31" spans="1:11" s="275" customFormat="1" ht="19.5" customHeight="1">
      <c r="A31" s="37"/>
      <c r="B31" s="273" t="s">
        <v>111</v>
      </c>
      <c r="C31" s="269" t="s">
        <v>105</v>
      </c>
      <c r="D31" s="403">
        <f>626.76*23.83</f>
        <v>14935.69</v>
      </c>
      <c r="E31" s="270">
        <f t="shared" si="2"/>
        <v>5974.28</v>
      </c>
      <c r="F31" s="274">
        <f t="shared" si="3"/>
        <v>20909.97</v>
      </c>
      <c r="G31" s="271">
        <f t="shared" si="0"/>
        <v>877.46</v>
      </c>
      <c r="H31" s="272">
        <f t="shared" si="1"/>
        <v>109.68</v>
      </c>
      <c r="J31" s="362"/>
      <c r="K31" s="362"/>
    </row>
    <row r="32" spans="1:8" ht="19.5" customHeight="1">
      <c r="A32" s="28"/>
      <c r="B32" s="39" t="s">
        <v>112</v>
      </c>
      <c r="C32" s="27" t="s">
        <v>105</v>
      </c>
      <c r="D32" s="404">
        <v>18000</v>
      </c>
      <c r="E32" s="41">
        <f t="shared" si="2"/>
        <v>7200</v>
      </c>
      <c r="F32" s="42">
        <f t="shared" si="3"/>
        <v>25200</v>
      </c>
      <c r="G32" s="38">
        <f t="shared" si="0"/>
        <v>1057.49</v>
      </c>
      <c r="H32" s="36">
        <f t="shared" si="1"/>
        <v>132.19</v>
      </c>
    </row>
    <row r="33" spans="1:8" ht="19.5" customHeight="1">
      <c r="A33" s="29"/>
      <c r="B33" s="39" t="s">
        <v>113</v>
      </c>
      <c r="C33" s="27" t="s">
        <v>105</v>
      </c>
      <c r="D33" s="404">
        <v>25000</v>
      </c>
      <c r="E33" s="41">
        <f t="shared" si="2"/>
        <v>10000</v>
      </c>
      <c r="F33" s="42">
        <f t="shared" si="3"/>
        <v>35000</v>
      </c>
      <c r="G33" s="38">
        <f t="shared" si="0"/>
        <v>1468.74</v>
      </c>
      <c r="H33" s="36">
        <f t="shared" si="1"/>
        <v>183.59</v>
      </c>
    </row>
    <row r="34" spans="1:8" ht="19.5" customHeight="1">
      <c r="A34" s="29"/>
      <c r="B34" s="39" t="s">
        <v>114</v>
      </c>
      <c r="C34" s="27" t="s">
        <v>105</v>
      </c>
      <c r="D34" s="404">
        <f>1719.25*23.83</f>
        <v>40969.73</v>
      </c>
      <c r="E34" s="41">
        <f t="shared" si="2"/>
        <v>16387.89</v>
      </c>
      <c r="F34" s="42">
        <f t="shared" si="3"/>
        <v>57357.62</v>
      </c>
      <c r="G34" s="38">
        <f t="shared" si="0"/>
        <v>2406.95</v>
      </c>
      <c r="H34" s="36">
        <f t="shared" si="1"/>
        <v>300.87</v>
      </c>
    </row>
    <row r="35" spans="1:8" ht="19.5" customHeight="1">
      <c r="A35" s="29"/>
      <c r="B35" s="39" t="s">
        <v>115</v>
      </c>
      <c r="C35" s="27" t="s">
        <v>105</v>
      </c>
      <c r="D35" s="404">
        <f>D20</f>
        <v>65000</v>
      </c>
      <c r="E35" s="41">
        <f t="shared" si="2"/>
        <v>26000</v>
      </c>
      <c r="F35" s="42">
        <f t="shared" si="3"/>
        <v>91000</v>
      </c>
      <c r="G35" s="38">
        <f t="shared" si="0"/>
        <v>3818.72</v>
      </c>
      <c r="H35" s="36">
        <f t="shared" si="1"/>
        <v>477.34</v>
      </c>
    </row>
    <row r="36" spans="1:11" s="275" customFormat="1" ht="19.5" customHeight="1">
      <c r="A36" s="276"/>
      <c r="B36" s="277" t="s">
        <v>793</v>
      </c>
      <c r="C36" s="278" t="s">
        <v>105</v>
      </c>
      <c r="D36" s="407">
        <f>D31</f>
        <v>14935.69</v>
      </c>
      <c r="E36" s="270">
        <f t="shared" si="2"/>
        <v>5974.28</v>
      </c>
      <c r="F36" s="274">
        <f t="shared" si="3"/>
        <v>20909.97</v>
      </c>
      <c r="G36" s="271">
        <f t="shared" si="0"/>
        <v>877.46</v>
      </c>
      <c r="H36" s="272">
        <f t="shared" si="1"/>
        <v>109.68</v>
      </c>
      <c r="J36" s="362"/>
      <c r="K36" s="362"/>
    </row>
    <row r="37" spans="1:8" ht="19.5" customHeight="1">
      <c r="A37" s="29"/>
      <c r="B37" s="40" t="s">
        <v>163</v>
      </c>
      <c r="C37" s="30" t="s">
        <v>105</v>
      </c>
      <c r="D37" s="404">
        <f>D23</f>
        <v>13646.01</v>
      </c>
      <c r="E37" s="41">
        <f t="shared" si="2"/>
        <v>5458.4</v>
      </c>
      <c r="F37" s="42">
        <f t="shared" si="3"/>
        <v>19104.41</v>
      </c>
      <c r="G37" s="38">
        <f t="shared" si="0"/>
        <v>801.7</v>
      </c>
      <c r="H37" s="36">
        <f t="shared" si="1"/>
        <v>100.21</v>
      </c>
    </row>
    <row r="38" spans="1:8" ht="19.5" customHeight="1">
      <c r="A38" s="29"/>
      <c r="B38" s="40" t="s">
        <v>702</v>
      </c>
      <c r="C38" s="30" t="s">
        <v>105</v>
      </c>
      <c r="D38" s="408">
        <f>1719.25*23.83</f>
        <v>40969.73</v>
      </c>
      <c r="E38" s="41">
        <f t="shared" si="2"/>
        <v>16387.89</v>
      </c>
      <c r="F38" s="42">
        <f t="shared" si="3"/>
        <v>57357.62</v>
      </c>
      <c r="G38" s="38">
        <f t="shared" si="0"/>
        <v>2406.95</v>
      </c>
      <c r="H38" s="36">
        <f t="shared" si="1"/>
        <v>300.87</v>
      </c>
    </row>
    <row r="39" spans="1:8" ht="19.5" customHeight="1">
      <c r="A39" s="29"/>
      <c r="B39" s="51" t="s">
        <v>703</v>
      </c>
      <c r="C39" s="30" t="s">
        <v>105</v>
      </c>
      <c r="D39" s="408">
        <f>+C12*23.3</f>
        <v>17163.48</v>
      </c>
      <c r="E39" s="41">
        <f t="shared" si="2"/>
        <v>6865.39</v>
      </c>
      <c r="F39" s="42">
        <f t="shared" si="3"/>
        <v>24028.87</v>
      </c>
      <c r="G39" s="38">
        <f t="shared" si="0"/>
        <v>1008.35</v>
      </c>
      <c r="H39" s="36">
        <f t="shared" si="1"/>
        <v>126.04</v>
      </c>
    </row>
    <row r="40" spans="1:11" ht="19.5" customHeight="1">
      <c r="A40" s="29"/>
      <c r="B40" s="52" t="s">
        <v>3</v>
      </c>
      <c r="C40" s="30" t="s">
        <v>105</v>
      </c>
      <c r="D40" s="408">
        <f>1363.99*23.83</f>
        <v>32503.88</v>
      </c>
      <c r="E40" s="41">
        <f t="shared" si="2"/>
        <v>13001.55</v>
      </c>
      <c r="F40" s="42">
        <f t="shared" si="3"/>
        <v>45505.43</v>
      </c>
      <c r="G40" s="38">
        <f t="shared" si="0"/>
        <v>1909.59</v>
      </c>
      <c r="H40" s="36">
        <f t="shared" si="1"/>
        <v>238.7</v>
      </c>
      <c r="J40" s="360">
        <f>1186.08*0.15</f>
        <v>177.91</v>
      </c>
      <c r="K40" s="360">
        <f>1186.08+177.91</f>
        <v>1363.99</v>
      </c>
    </row>
    <row r="41" spans="1:8" ht="19.5" customHeight="1">
      <c r="A41" s="29"/>
      <c r="B41" s="52" t="s">
        <v>4</v>
      </c>
      <c r="C41" s="30" t="s">
        <v>105</v>
      </c>
      <c r="D41" s="408">
        <f>1091.06*23.83</f>
        <v>25999.96</v>
      </c>
      <c r="E41" s="41">
        <f t="shared" si="2"/>
        <v>10399.98</v>
      </c>
      <c r="F41" s="42">
        <f t="shared" si="3"/>
        <v>36399.94</v>
      </c>
      <c r="G41" s="38">
        <f t="shared" si="0"/>
        <v>1527.48</v>
      </c>
      <c r="H41" s="36">
        <f t="shared" si="1"/>
        <v>190.94</v>
      </c>
    </row>
    <row r="42" spans="1:8" ht="19.5" customHeight="1">
      <c r="A42" s="29"/>
      <c r="B42" s="682" t="s">
        <v>1055</v>
      </c>
      <c r="C42" s="30" t="s">
        <v>105</v>
      </c>
      <c r="D42" s="408">
        <f>+C11*23.83</f>
        <v>22785.53</v>
      </c>
      <c r="E42" s="41">
        <f>D42*40/100</f>
        <v>9114.21</v>
      </c>
      <c r="F42" s="42">
        <f>SUM(D42:E42)</f>
        <v>31899.74</v>
      </c>
      <c r="G42" s="38">
        <f>+F42/23.83</f>
        <v>1338.64</v>
      </c>
      <c r="H42" s="36">
        <f>+G42/8</f>
        <v>167.33</v>
      </c>
    </row>
    <row r="43" spans="1:8" ht="19.5" customHeight="1">
      <c r="A43" s="29"/>
      <c r="B43" s="110" t="s">
        <v>216</v>
      </c>
      <c r="C43" s="30" t="s">
        <v>105</v>
      </c>
      <c r="D43" s="408">
        <f>+C13*23.83</f>
        <v>14935.69</v>
      </c>
      <c r="E43" s="41">
        <f t="shared" si="2"/>
        <v>5974.28</v>
      </c>
      <c r="F43" s="42">
        <f t="shared" si="3"/>
        <v>20909.97</v>
      </c>
      <c r="G43" s="38">
        <f t="shared" si="0"/>
        <v>877.46</v>
      </c>
      <c r="H43" s="36">
        <f t="shared" si="1"/>
        <v>109.68</v>
      </c>
    </row>
    <row r="44" spans="1:8" ht="19.5" customHeight="1">
      <c r="A44" s="29"/>
      <c r="B44" s="110" t="s">
        <v>899</v>
      </c>
      <c r="C44" s="30" t="s">
        <v>105</v>
      </c>
      <c r="D44" s="408">
        <f>+C14*23.83</f>
        <v>13646.01</v>
      </c>
      <c r="E44" s="41">
        <f>D44*40/100</f>
        <v>5458.4</v>
      </c>
      <c r="F44" s="42">
        <f>SUM(D44:E44)</f>
        <v>19104.41</v>
      </c>
      <c r="G44" s="38">
        <f>+F44/23.83</f>
        <v>801.7</v>
      </c>
      <c r="H44" s="36">
        <f>+G44/8</f>
        <v>100.21</v>
      </c>
    </row>
    <row r="45" spans="1:11" s="275" customFormat="1" ht="19.5" customHeight="1">
      <c r="A45" s="276"/>
      <c r="B45" s="279" t="s">
        <v>1</v>
      </c>
      <c r="C45" s="278" t="s">
        <v>105</v>
      </c>
      <c r="D45" s="409">
        <f>736.63*23.83</f>
        <v>17553.89</v>
      </c>
      <c r="E45" s="270">
        <f>D45*40/100</f>
        <v>7021.56</v>
      </c>
      <c r="F45" s="274">
        <f t="shared" si="3"/>
        <v>24575.45</v>
      </c>
      <c r="G45" s="271">
        <f t="shared" si="0"/>
        <v>1031.28</v>
      </c>
      <c r="H45" s="272">
        <f t="shared" si="1"/>
        <v>128.91</v>
      </c>
      <c r="J45" s="362"/>
      <c r="K45" s="362"/>
    </row>
    <row r="46" spans="1:11" s="275" customFormat="1" ht="19.5" customHeight="1">
      <c r="A46" s="276"/>
      <c r="B46" s="280" t="s">
        <v>117</v>
      </c>
      <c r="C46" s="278" t="s">
        <v>708</v>
      </c>
      <c r="D46" s="410">
        <f>2253.68</f>
        <v>2253.68</v>
      </c>
      <c r="E46" s="271"/>
      <c r="F46" s="271"/>
      <c r="G46" s="271"/>
      <c r="H46" s="272"/>
      <c r="J46" s="362"/>
      <c r="K46" s="362"/>
    </row>
    <row r="47" spans="1:11" s="275" customFormat="1" ht="19.5" customHeight="1">
      <c r="A47" s="276"/>
      <c r="B47" s="277" t="s">
        <v>118</v>
      </c>
      <c r="C47" s="278" t="s">
        <v>708</v>
      </c>
      <c r="D47" s="410">
        <f>2345.2</f>
        <v>2345.2</v>
      </c>
      <c r="E47" s="271"/>
      <c r="F47" s="271"/>
      <c r="G47" s="271"/>
      <c r="H47" s="272"/>
      <c r="J47" s="362"/>
      <c r="K47" s="362"/>
    </row>
    <row r="48" spans="1:11" s="275" customFormat="1" ht="19.5" customHeight="1">
      <c r="A48" s="276"/>
      <c r="B48" s="277" t="s">
        <v>119</v>
      </c>
      <c r="C48" s="278" t="s">
        <v>98</v>
      </c>
      <c r="D48" s="410">
        <v>1848.02</v>
      </c>
      <c r="E48" s="271"/>
      <c r="F48" s="271"/>
      <c r="G48" s="271"/>
      <c r="H48" s="272"/>
      <c r="J48" s="362"/>
      <c r="K48" s="362"/>
    </row>
    <row r="49" spans="1:11" s="275" customFormat="1" ht="20.25" customHeight="1">
      <c r="A49" s="281"/>
      <c r="B49" s="282" t="s">
        <v>219</v>
      </c>
      <c r="C49" s="283" t="s">
        <v>98</v>
      </c>
      <c r="D49" s="411">
        <v>1366.45</v>
      </c>
      <c r="E49" s="284"/>
      <c r="F49" s="284"/>
      <c r="G49" s="271"/>
      <c r="H49" s="272"/>
      <c r="J49" s="362"/>
      <c r="K49" s="362"/>
    </row>
    <row r="50" spans="1:11" s="275" customFormat="1" ht="19.5" customHeight="1">
      <c r="A50" s="276"/>
      <c r="B50" s="277" t="s">
        <v>120</v>
      </c>
      <c r="C50" s="278" t="s">
        <v>98</v>
      </c>
      <c r="D50" s="410">
        <v>665.48</v>
      </c>
      <c r="E50" s="271"/>
      <c r="F50" s="271"/>
      <c r="G50" s="271"/>
      <c r="H50" s="272"/>
      <c r="J50" s="362"/>
      <c r="K50" s="362"/>
    </row>
    <row r="51" spans="1:11" s="275" customFormat="1" ht="19.5" customHeight="1">
      <c r="A51" s="276"/>
      <c r="B51" s="277" t="s">
        <v>121</v>
      </c>
      <c r="C51" s="278" t="s">
        <v>98</v>
      </c>
      <c r="D51" s="410">
        <f>D48</f>
        <v>1848.02</v>
      </c>
      <c r="E51" s="271"/>
      <c r="F51" s="271"/>
      <c r="G51" s="271"/>
      <c r="H51" s="272"/>
      <c r="J51" s="362"/>
      <c r="K51" s="362"/>
    </row>
    <row r="52" spans="1:11" s="275" customFormat="1" ht="19.5" customHeight="1">
      <c r="A52" s="276"/>
      <c r="B52" s="277" t="s">
        <v>122</v>
      </c>
      <c r="C52" s="278" t="s">
        <v>98</v>
      </c>
      <c r="D52" s="410">
        <f>D62</f>
        <v>1095.72</v>
      </c>
      <c r="E52" s="271"/>
      <c r="F52" s="271"/>
      <c r="G52" s="271"/>
      <c r="H52" s="272"/>
      <c r="J52" s="362"/>
      <c r="K52" s="362"/>
    </row>
    <row r="53" spans="1:11" s="275" customFormat="1" ht="19.5" customHeight="1">
      <c r="A53" s="276"/>
      <c r="B53" s="277" t="s">
        <v>79</v>
      </c>
      <c r="C53" s="278" t="s">
        <v>88</v>
      </c>
      <c r="D53" s="410">
        <v>397.44</v>
      </c>
      <c r="E53" s="342">
        <v>631.26</v>
      </c>
      <c r="F53" s="271"/>
      <c r="G53" s="271"/>
      <c r="H53" s="272"/>
      <c r="J53" s="362"/>
      <c r="K53" s="362"/>
    </row>
    <row r="54" spans="1:11" s="275" customFormat="1" ht="19.5" customHeight="1">
      <c r="A54" s="276"/>
      <c r="B54" s="277" t="s">
        <v>116</v>
      </c>
      <c r="C54" s="278" t="s">
        <v>174</v>
      </c>
      <c r="D54" s="410">
        <v>11.25</v>
      </c>
      <c r="E54" s="271"/>
      <c r="F54" s="271"/>
      <c r="G54" s="271"/>
      <c r="H54" s="272"/>
      <c r="J54" s="362"/>
      <c r="K54" s="362"/>
    </row>
    <row r="55" spans="1:11" s="275" customFormat="1" ht="24" customHeight="1">
      <c r="A55" s="276"/>
      <c r="B55" s="282" t="s">
        <v>797</v>
      </c>
      <c r="C55" s="278" t="s">
        <v>92</v>
      </c>
      <c r="D55" s="410">
        <v>210</v>
      </c>
      <c r="E55" s="271"/>
      <c r="F55" s="271"/>
      <c r="G55" s="271"/>
      <c r="H55" s="272"/>
      <c r="J55" s="362"/>
      <c r="K55" s="362"/>
    </row>
    <row r="56" spans="1:11" s="275" customFormat="1" ht="24" customHeight="1">
      <c r="A56" s="276"/>
      <c r="B56" s="282" t="s">
        <v>798</v>
      </c>
      <c r="C56" s="278" t="s">
        <v>92</v>
      </c>
      <c r="D56" s="410">
        <v>502.28</v>
      </c>
      <c r="E56" s="271"/>
      <c r="F56" s="271"/>
      <c r="G56" s="271"/>
      <c r="H56" s="272"/>
      <c r="J56" s="362"/>
      <c r="K56" s="362"/>
    </row>
    <row r="57" spans="1:8" ht="19.5" customHeight="1">
      <c r="A57" s="29"/>
      <c r="B57" s="40" t="s">
        <v>198</v>
      </c>
      <c r="C57" s="30" t="s">
        <v>92</v>
      </c>
      <c r="D57" s="412">
        <f>882*1.15</f>
        <v>1014.3</v>
      </c>
      <c r="E57" s="38"/>
      <c r="F57" s="38"/>
      <c r="G57" s="38"/>
      <c r="H57" s="36"/>
    </row>
    <row r="58" spans="1:8" ht="19.5" customHeight="1">
      <c r="A58" s="29"/>
      <c r="B58" s="40" t="s">
        <v>177</v>
      </c>
      <c r="C58" s="30" t="s">
        <v>105</v>
      </c>
      <c r="D58" s="413">
        <f>350*23.83</f>
        <v>8340.5</v>
      </c>
      <c r="E58" s="38"/>
      <c r="F58" s="38"/>
      <c r="G58" s="38"/>
      <c r="H58" s="36"/>
    </row>
    <row r="59" spans="1:8" ht="19.5" customHeight="1">
      <c r="A59" s="29"/>
      <c r="B59" s="40" t="s">
        <v>179</v>
      </c>
      <c r="C59" s="30" t="s">
        <v>77</v>
      </c>
      <c r="D59" s="412">
        <v>11.25</v>
      </c>
      <c r="E59" s="38"/>
      <c r="F59" s="38"/>
      <c r="G59" s="38"/>
      <c r="H59" s="36"/>
    </row>
    <row r="60" spans="1:11" s="275" customFormat="1" ht="19.5" customHeight="1">
      <c r="A60" s="285"/>
      <c r="B60" s="286" t="s">
        <v>679</v>
      </c>
      <c r="C60" s="287" t="s">
        <v>105</v>
      </c>
      <c r="D60" s="414">
        <f>831.45*23.83</f>
        <v>19813.45</v>
      </c>
      <c r="E60" s="288">
        <f>D60*40/100</f>
        <v>7925.38</v>
      </c>
      <c r="F60" s="288">
        <f>E60+D60</f>
        <v>27738.83</v>
      </c>
      <c r="G60" s="288">
        <f>F60/23.83</f>
        <v>1164.03</v>
      </c>
      <c r="H60" s="289">
        <f>G60/8</f>
        <v>145.5</v>
      </c>
      <c r="J60" s="362"/>
      <c r="K60" s="362"/>
    </row>
    <row r="61" spans="1:8" ht="21" customHeight="1">
      <c r="A61" s="138"/>
      <c r="B61" s="51" t="s">
        <v>675</v>
      </c>
      <c r="C61" s="139" t="s">
        <v>167</v>
      </c>
      <c r="D61" s="415">
        <f>350</f>
        <v>350</v>
      </c>
      <c r="E61" s="140"/>
      <c r="F61" s="140"/>
      <c r="G61" s="140"/>
      <c r="H61" s="141"/>
    </row>
    <row r="62" spans="1:11" s="290" customFormat="1" ht="18.75" customHeight="1">
      <c r="A62" s="294"/>
      <c r="B62" s="295" t="s">
        <v>680</v>
      </c>
      <c r="C62" s="296" t="s">
        <v>98</v>
      </c>
      <c r="D62" s="416">
        <v>1095.72</v>
      </c>
      <c r="E62" s="295"/>
      <c r="F62" s="295"/>
      <c r="G62" s="297"/>
      <c r="H62" s="298"/>
      <c r="I62" s="290">
        <f>862.61*0.15</f>
        <v>129.3915</v>
      </c>
      <c r="J62" s="363"/>
      <c r="K62" s="363"/>
    </row>
    <row r="63" spans="1:11" s="290" customFormat="1" ht="19.5" customHeight="1" thickBot="1">
      <c r="A63" s="299"/>
      <c r="B63" s="305" t="s">
        <v>204</v>
      </c>
      <c r="C63" s="300" t="s">
        <v>105</v>
      </c>
      <c r="D63" s="417">
        <f>1363.99*23.83</f>
        <v>32503.88</v>
      </c>
      <c r="E63" s="301">
        <f>D63*40/100</f>
        <v>13001.55</v>
      </c>
      <c r="F63" s="302">
        <f>SUM(D63:E63)</f>
        <v>45505.43</v>
      </c>
      <c r="G63" s="303">
        <f>+F63/23.83</f>
        <v>1909.59</v>
      </c>
      <c r="H63" s="304">
        <f>+G63/8</f>
        <v>238.7</v>
      </c>
      <c r="J63" s="363"/>
      <c r="K63" s="363"/>
    </row>
    <row r="64" spans="1:11" s="290" customFormat="1" ht="24" customHeight="1" thickTop="1">
      <c r="A64" s="294"/>
      <c r="B64" s="388" t="s">
        <v>794</v>
      </c>
      <c r="C64" s="296" t="s">
        <v>100</v>
      </c>
      <c r="D64" s="418">
        <v>12</v>
      </c>
      <c r="E64" s="389"/>
      <c r="F64" s="390"/>
      <c r="G64" s="391"/>
      <c r="H64" s="298"/>
      <c r="J64" s="363"/>
      <c r="K64" s="363"/>
    </row>
    <row r="65" spans="1:11" s="290" customFormat="1" ht="54.75" customHeight="1">
      <c r="A65" s="392"/>
      <c r="B65" s="393" t="s">
        <v>908</v>
      </c>
      <c r="C65" s="394">
        <f>150000/23.83/8</f>
        <v>786.82</v>
      </c>
      <c r="D65" s="419">
        <f>C65*$C$24</f>
        <v>0</v>
      </c>
      <c r="E65" s="395">
        <f>30000/23.83/8</f>
        <v>157.36</v>
      </c>
      <c r="F65" s="395">
        <f>ROUND((C65+D65+E65),2)</f>
        <v>944.18</v>
      </c>
      <c r="G65" s="396">
        <f>8*F65</f>
        <v>7553.44</v>
      </c>
      <c r="H65" s="397"/>
      <c r="J65" s="363"/>
      <c r="K65" s="363"/>
    </row>
    <row r="66" spans="7:8" ht="11.25">
      <c r="G66" s="25"/>
      <c r="H66" s="25"/>
    </row>
    <row r="67" spans="7:8" ht="11.25">
      <c r="G67" s="25"/>
      <c r="H67" s="25"/>
    </row>
    <row r="68" spans="2:12" ht="14.25">
      <c r="B68" s="401" t="s">
        <v>103</v>
      </c>
      <c r="C68" s="401">
        <v>1.4</v>
      </c>
      <c r="D68" s="421"/>
      <c r="E68" s="401"/>
      <c r="F68" s="401"/>
      <c r="G68" s="401"/>
      <c r="H68" s="401"/>
      <c r="I68" s="401"/>
      <c r="J68" s="401"/>
      <c r="K68" s="401"/>
      <c r="L68" s="401"/>
    </row>
    <row r="69" spans="2:12" ht="15">
      <c r="B69" s="401"/>
      <c r="C69" s="429" t="s">
        <v>672</v>
      </c>
      <c r="D69" s="429" t="s">
        <v>168</v>
      </c>
      <c r="E69" s="429" t="s">
        <v>911</v>
      </c>
      <c r="F69" s="429" t="s">
        <v>912</v>
      </c>
      <c r="G69" s="429" t="s">
        <v>913</v>
      </c>
      <c r="H69" s="429" t="s">
        <v>914</v>
      </c>
      <c r="I69" s="429" t="s">
        <v>915</v>
      </c>
      <c r="J69" s="429" t="s">
        <v>916</v>
      </c>
      <c r="K69" s="429" t="s">
        <v>917</v>
      </c>
      <c r="L69" s="429" t="s">
        <v>918</v>
      </c>
    </row>
    <row r="70" spans="2:12" ht="15.75" thickBot="1">
      <c r="B70" s="428"/>
      <c r="C70" s="428"/>
      <c r="D70" s="430" t="s">
        <v>171</v>
      </c>
      <c r="E70" s="431"/>
      <c r="F70" s="431">
        <v>2406.95</v>
      </c>
      <c r="G70" s="431">
        <v>1909.59</v>
      </c>
      <c r="H70" s="431">
        <v>1528.28</v>
      </c>
      <c r="I70" s="431">
        <v>1338.64</v>
      </c>
      <c r="J70" s="431">
        <v>1031.28</v>
      </c>
      <c r="K70" s="431">
        <v>877.46</v>
      </c>
      <c r="L70" s="431">
        <v>801.7</v>
      </c>
    </row>
    <row r="71" spans="2:12" ht="14.25">
      <c r="B71" s="426" t="s">
        <v>919</v>
      </c>
      <c r="C71" s="426"/>
      <c r="D71" s="427"/>
      <c r="E71" s="426"/>
      <c r="F71" s="426"/>
      <c r="G71" s="426"/>
      <c r="H71" s="426"/>
      <c r="I71" s="426"/>
      <c r="J71" s="426"/>
      <c r="K71" s="426"/>
      <c r="L71" s="400"/>
    </row>
    <row r="72" spans="2:12" ht="14.25">
      <c r="B72" s="401" t="s">
        <v>920</v>
      </c>
      <c r="C72" s="422">
        <f>+(F70*F72+G72*G70+H72*H70+I72*I70+J72*J70+K72*K70+L72*L70)/E72</f>
        <v>796.3</v>
      </c>
      <c r="D72" s="421" t="s">
        <v>402</v>
      </c>
      <c r="E72" s="401">
        <v>3.5</v>
      </c>
      <c r="F72" s="401"/>
      <c r="G72" s="401">
        <v>1</v>
      </c>
      <c r="H72" s="401"/>
      <c r="I72" s="401"/>
      <c r="J72" s="401"/>
      <c r="K72" s="401">
        <v>1</v>
      </c>
      <c r="L72" s="400"/>
    </row>
    <row r="73" spans="2:12" ht="14.25">
      <c r="B73" s="401" t="s">
        <v>921</v>
      </c>
      <c r="C73" s="422">
        <f>+(F70*F73+G73*G70+H73*H70+I73*I70+J73*J70+K73*K70+L73*L70)/E73</f>
        <v>2758.21</v>
      </c>
      <c r="D73" s="421" t="s">
        <v>402</v>
      </c>
      <c r="E73" s="401">
        <v>2.05</v>
      </c>
      <c r="F73" s="401">
        <v>1</v>
      </c>
      <c r="G73" s="401"/>
      <c r="H73" s="401"/>
      <c r="I73" s="401">
        <v>1</v>
      </c>
      <c r="J73" s="401">
        <v>1</v>
      </c>
      <c r="K73" s="401">
        <v>1</v>
      </c>
      <c r="L73" s="400"/>
    </row>
    <row r="74" spans="2:12" ht="14.25">
      <c r="B74" s="401" t="s">
        <v>922</v>
      </c>
      <c r="C74" s="422">
        <f>+(F70*F74+G74*G70+H74*H70+I74*I70+J74*J70+K74*K70+L74*L70)/E74</f>
        <v>257.02</v>
      </c>
      <c r="D74" s="421" t="s">
        <v>923</v>
      </c>
      <c r="E74" s="401">
        <v>22</v>
      </c>
      <c r="F74" s="401">
        <v>1</v>
      </c>
      <c r="G74" s="401"/>
      <c r="H74" s="401"/>
      <c r="I74" s="401">
        <v>1</v>
      </c>
      <c r="J74" s="401">
        <v>1</v>
      </c>
      <c r="K74" s="401">
        <v>1</v>
      </c>
      <c r="L74" s="400"/>
    </row>
    <row r="75" spans="2:12" ht="14.25">
      <c r="B75" s="401" t="s">
        <v>924</v>
      </c>
      <c r="C75" s="422">
        <f>+(F70*F75+G75*G70+H75*H70+I75*I70+J75*J70+K75*K70+L75*L70)/E75</f>
        <v>176.7</v>
      </c>
      <c r="D75" s="421" t="s">
        <v>923</v>
      </c>
      <c r="E75" s="401">
        <v>32</v>
      </c>
      <c r="F75" s="401">
        <v>1</v>
      </c>
      <c r="G75" s="401"/>
      <c r="H75" s="401"/>
      <c r="I75" s="401">
        <v>1</v>
      </c>
      <c r="J75" s="401">
        <v>1</v>
      </c>
      <c r="K75" s="401">
        <v>1</v>
      </c>
      <c r="L75" s="400"/>
    </row>
    <row r="76" spans="2:12" ht="14.25">
      <c r="B76" s="401" t="s">
        <v>925</v>
      </c>
      <c r="C76" s="422">
        <f>+(F70*F76+G76*G70+H76*H70+I76*I70+J76*J70+K76*K70+L76*L70)/E76</f>
        <v>434.95</v>
      </c>
      <c r="D76" s="421" t="s">
        <v>923</v>
      </c>
      <c r="E76" s="401">
        <v>13</v>
      </c>
      <c r="F76" s="401">
        <v>1</v>
      </c>
      <c r="G76" s="401"/>
      <c r="H76" s="401"/>
      <c r="I76" s="401">
        <v>1</v>
      </c>
      <c r="J76" s="401">
        <v>1</v>
      </c>
      <c r="K76" s="401">
        <v>1</v>
      </c>
      <c r="L76" s="400"/>
    </row>
    <row r="77" spans="2:12" ht="14.25">
      <c r="B77" s="401" t="s">
        <v>926</v>
      </c>
      <c r="C77" s="422">
        <f>+(F70*F77+G77*G70+H77*H70+I77*I70+J77*J70+K77*K70+L77*L70)/E77</f>
        <v>287.02</v>
      </c>
      <c r="D77" s="421" t="s">
        <v>923</v>
      </c>
      <c r="E77" s="401">
        <v>19.7</v>
      </c>
      <c r="F77" s="401">
        <v>1</v>
      </c>
      <c r="G77" s="401"/>
      <c r="H77" s="401"/>
      <c r="I77" s="401">
        <v>1</v>
      </c>
      <c r="J77" s="401">
        <v>1</v>
      </c>
      <c r="K77" s="401">
        <v>1</v>
      </c>
      <c r="L77" s="400"/>
    </row>
    <row r="78" spans="2:12" ht="14.25">
      <c r="B78" s="401" t="s">
        <v>927</v>
      </c>
      <c r="C78" s="422">
        <f>+(I78*I70+K78*K70)/E78</f>
        <v>44.32</v>
      </c>
      <c r="D78" s="421" t="s">
        <v>923</v>
      </c>
      <c r="E78" s="401">
        <v>50</v>
      </c>
      <c r="F78" s="401"/>
      <c r="G78" s="401"/>
      <c r="H78" s="401"/>
      <c r="I78" s="401">
        <v>1</v>
      </c>
      <c r="J78" s="401"/>
      <c r="K78" s="401">
        <v>1</v>
      </c>
      <c r="L78" s="400"/>
    </row>
    <row r="79" spans="2:12" ht="14.25">
      <c r="B79" s="401" t="s">
        <v>119</v>
      </c>
      <c r="C79" s="422">
        <v>1848.02</v>
      </c>
      <c r="D79" s="421" t="s">
        <v>98</v>
      </c>
      <c r="E79" s="401"/>
      <c r="F79" s="401"/>
      <c r="G79" s="401"/>
      <c r="H79" s="401"/>
      <c r="I79" s="401"/>
      <c r="J79" s="401"/>
      <c r="K79" s="401"/>
      <c r="L79" s="400"/>
    </row>
    <row r="80" spans="2:12" ht="14.25">
      <c r="B80" s="401" t="s">
        <v>219</v>
      </c>
      <c r="C80" s="422">
        <v>1366.45</v>
      </c>
      <c r="D80" s="421" t="s">
        <v>98</v>
      </c>
      <c r="E80" s="401"/>
      <c r="F80" s="401"/>
      <c r="G80" s="401"/>
      <c r="H80" s="401"/>
      <c r="I80" s="401"/>
      <c r="J80" s="401"/>
      <c r="K80" s="401"/>
      <c r="L80" s="400"/>
    </row>
    <row r="81" spans="2:12" ht="14.25">
      <c r="B81" s="401" t="s">
        <v>120</v>
      </c>
      <c r="C81" s="422">
        <v>665.48</v>
      </c>
      <c r="D81" s="421" t="s">
        <v>98</v>
      </c>
      <c r="E81" s="401"/>
      <c r="F81" s="401"/>
      <c r="G81" s="401"/>
      <c r="H81" s="401"/>
      <c r="I81" s="401"/>
      <c r="J81" s="401"/>
      <c r="K81" s="401"/>
      <c r="L81" s="400"/>
    </row>
    <row r="82" spans="2:12" ht="14.25">
      <c r="B82" s="401" t="s">
        <v>121</v>
      </c>
      <c r="C82" s="422">
        <v>1848.02</v>
      </c>
      <c r="D82" s="421" t="s">
        <v>98</v>
      </c>
      <c r="E82" s="401"/>
      <c r="F82" s="401"/>
      <c r="G82" s="401"/>
      <c r="H82" s="401"/>
      <c r="I82" s="401"/>
      <c r="J82" s="401"/>
      <c r="K82" s="401"/>
      <c r="L82" s="400"/>
    </row>
    <row r="83" spans="2:12" ht="14.25">
      <c r="B83" s="401" t="s">
        <v>122</v>
      </c>
      <c r="C83" s="422">
        <v>992</v>
      </c>
      <c r="D83" s="421" t="s">
        <v>98</v>
      </c>
      <c r="E83" s="401"/>
      <c r="F83" s="401"/>
      <c r="G83" s="401"/>
      <c r="H83" s="401"/>
      <c r="I83" s="401"/>
      <c r="J83" s="401"/>
      <c r="K83" s="401"/>
      <c r="L83" s="400"/>
    </row>
    <row r="84" spans="2:11" ht="11.25">
      <c r="B84" s="423"/>
      <c r="C84" s="423"/>
      <c r="D84" s="424"/>
      <c r="E84" s="423"/>
      <c r="F84" s="423"/>
      <c r="G84" s="423"/>
      <c r="H84" s="423"/>
      <c r="I84" s="423"/>
      <c r="J84" s="425"/>
      <c r="K84" s="425"/>
    </row>
    <row r="86" spans="2:4" s="436" customFormat="1" ht="25.5" customHeight="1">
      <c r="B86" s="437" t="s">
        <v>103</v>
      </c>
      <c r="C86" s="438">
        <v>1.4</v>
      </c>
      <c r="D86" s="439"/>
    </row>
    <row r="87" spans="2:16" s="122" customFormat="1" ht="12.75">
      <c r="B87" s="440"/>
      <c r="C87" s="441" t="s">
        <v>672</v>
      </c>
      <c r="D87" s="442" t="s">
        <v>168</v>
      </c>
      <c r="E87" s="442" t="s">
        <v>911</v>
      </c>
      <c r="F87" s="442" t="s">
        <v>912</v>
      </c>
      <c r="G87" s="442" t="s">
        <v>913</v>
      </c>
      <c r="H87" s="442" t="s">
        <v>914</v>
      </c>
      <c r="I87" s="442" t="s">
        <v>915</v>
      </c>
      <c r="J87" s="442" t="s">
        <v>916</v>
      </c>
      <c r="K87" s="442" t="s">
        <v>917</v>
      </c>
      <c r="L87" s="442" t="s">
        <v>918</v>
      </c>
      <c r="N87" s="443"/>
      <c r="O87" s="444"/>
      <c r="P87" s="123"/>
    </row>
    <row r="88" spans="2:16" s="122" customFormat="1" ht="12.75">
      <c r="B88" s="445"/>
      <c r="C88" s="445"/>
      <c r="D88" s="446" t="s">
        <v>171</v>
      </c>
      <c r="E88" s="445"/>
      <c r="F88" s="447">
        <f>1719.25*C86</f>
        <v>2406.95</v>
      </c>
      <c r="G88" s="447">
        <f>1363.99*C86</f>
        <v>1909.59</v>
      </c>
      <c r="H88" s="447">
        <f>1091.63*C86</f>
        <v>1528.28</v>
      </c>
      <c r="I88" s="447">
        <f>956.17*C86</f>
        <v>1338.64</v>
      </c>
      <c r="J88" s="447">
        <f>736.63*C86</f>
        <v>1031.28</v>
      </c>
      <c r="K88" s="447">
        <f>626.76*C86</f>
        <v>877.46</v>
      </c>
      <c r="L88" s="447">
        <f>572.64*C86</f>
        <v>801.7</v>
      </c>
      <c r="N88" s="443"/>
      <c r="O88" s="444"/>
      <c r="P88" s="123"/>
    </row>
    <row r="89" spans="2:16" s="122" customFormat="1" ht="12.75">
      <c r="B89" s="448" t="s">
        <v>919</v>
      </c>
      <c r="C89" s="433"/>
      <c r="D89" s="434"/>
      <c r="E89" s="433"/>
      <c r="F89" s="433"/>
      <c r="G89" s="433"/>
      <c r="H89" s="433"/>
      <c r="I89" s="433"/>
      <c r="J89" s="433"/>
      <c r="K89" s="433"/>
      <c r="L89" s="433"/>
      <c r="N89" s="443"/>
      <c r="O89" s="444"/>
      <c r="P89" s="123"/>
    </row>
    <row r="90" spans="2:16" s="122" customFormat="1" ht="12.75">
      <c r="B90" s="449" t="s">
        <v>920</v>
      </c>
      <c r="C90" s="422">
        <f>+(F88*F90+G90*G88+H90*H88+I90*I88+J90*J88+K90*K88+L90*L88)/E90</f>
        <v>796.3</v>
      </c>
      <c r="D90" s="450" t="s">
        <v>402</v>
      </c>
      <c r="E90" s="422">
        <v>3.5</v>
      </c>
      <c r="F90" s="451"/>
      <c r="G90" s="451">
        <v>1</v>
      </c>
      <c r="H90" s="451"/>
      <c r="I90" s="451"/>
      <c r="J90" s="451"/>
      <c r="K90" s="451">
        <v>1</v>
      </c>
      <c r="L90" s="433"/>
      <c r="N90" s="443"/>
      <c r="O90" s="444"/>
      <c r="P90" s="123"/>
    </row>
    <row r="91" spans="2:16" s="122" customFormat="1" ht="12.75">
      <c r="B91" s="449" t="s">
        <v>921</v>
      </c>
      <c r="C91" s="422">
        <f>+(F88*F91+G91*G88+H91*H88+I91*I88+J91*J88+K91*K88+L91*L88)/E91</f>
        <v>2758.21</v>
      </c>
      <c r="D91" s="450" t="s">
        <v>402</v>
      </c>
      <c r="E91" s="422">
        <v>2.05</v>
      </c>
      <c r="F91" s="451">
        <v>1</v>
      </c>
      <c r="G91" s="451"/>
      <c r="H91" s="451"/>
      <c r="I91" s="451">
        <v>1</v>
      </c>
      <c r="J91" s="451">
        <v>1</v>
      </c>
      <c r="K91" s="451">
        <v>1</v>
      </c>
      <c r="L91" s="433"/>
      <c r="N91" s="443"/>
      <c r="O91" s="444"/>
      <c r="P91" s="123"/>
    </row>
    <row r="92" spans="2:16" s="122" customFormat="1" ht="12.75">
      <c r="B92" s="449" t="s">
        <v>922</v>
      </c>
      <c r="C92" s="422">
        <f>+(F88*F92+G92*G88+H92*H88+I92*I88+J92*J88+K92*K88+L92*L88)/E92</f>
        <v>257.02</v>
      </c>
      <c r="D92" s="450" t="s">
        <v>923</v>
      </c>
      <c r="E92" s="422">
        <v>22</v>
      </c>
      <c r="F92" s="451">
        <v>1</v>
      </c>
      <c r="G92" s="451"/>
      <c r="H92" s="451"/>
      <c r="I92" s="451">
        <v>1</v>
      </c>
      <c r="J92" s="451">
        <v>1</v>
      </c>
      <c r="K92" s="451">
        <v>1</v>
      </c>
      <c r="L92" s="433"/>
      <c r="N92" s="443"/>
      <c r="O92" s="444"/>
      <c r="P92" s="123"/>
    </row>
    <row r="93" spans="2:16" s="122" customFormat="1" ht="12.75">
      <c r="B93" s="449" t="s">
        <v>924</v>
      </c>
      <c r="C93" s="422">
        <f>+(F88*F93+G93*G88+H93*H88+I93*I88+J93*J88+K93*K88+L93*L88)/E93</f>
        <v>176.7</v>
      </c>
      <c r="D93" s="450" t="s">
        <v>923</v>
      </c>
      <c r="E93" s="422">
        <v>32</v>
      </c>
      <c r="F93" s="451">
        <v>1</v>
      </c>
      <c r="G93" s="451"/>
      <c r="H93" s="451"/>
      <c r="I93" s="451">
        <v>1</v>
      </c>
      <c r="J93" s="451">
        <v>1</v>
      </c>
      <c r="K93" s="451">
        <v>1</v>
      </c>
      <c r="L93" s="433"/>
      <c r="N93" s="443"/>
      <c r="O93" s="444"/>
      <c r="P93" s="123"/>
    </row>
    <row r="94" spans="2:16" s="122" customFormat="1" ht="12.75">
      <c r="B94" s="449" t="s">
        <v>925</v>
      </c>
      <c r="C94" s="422">
        <f>+(F88*F94+G94*G88+H94*H88+I94*I88+J94*J88+K94*K88+L94*L88)/E94</f>
        <v>434.95</v>
      </c>
      <c r="D94" s="450" t="s">
        <v>923</v>
      </c>
      <c r="E94" s="422">
        <v>13</v>
      </c>
      <c r="F94" s="451">
        <v>1</v>
      </c>
      <c r="G94" s="451"/>
      <c r="H94" s="451"/>
      <c r="I94" s="451">
        <v>1</v>
      </c>
      <c r="J94" s="451">
        <v>1</v>
      </c>
      <c r="K94" s="451">
        <v>1</v>
      </c>
      <c r="L94" s="433"/>
      <c r="N94" s="443"/>
      <c r="O94" s="444"/>
      <c r="P94" s="123"/>
    </row>
    <row r="95" spans="2:12" s="122" customFormat="1" ht="12.75">
      <c r="B95" s="449" t="s">
        <v>926</v>
      </c>
      <c r="C95" s="422">
        <f>+(F88*F95+G95*G88+H95*H88+I95*I88+J95*J88+K95*K88+L95*L88)/E95</f>
        <v>287.02</v>
      </c>
      <c r="D95" s="450" t="s">
        <v>923</v>
      </c>
      <c r="E95" s="422">
        <v>19.7</v>
      </c>
      <c r="F95" s="451">
        <v>1</v>
      </c>
      <c r="G95" s="451"/>
      <c r="H95" s="451"/>
      <c r="I95" s="451">
        <v>1</v>
      </c>
      <c r="J95" s="451">
        <v>1</v>
      </c>
      <c r="K95" s="451">
        <v>1</v>
      </c>
      <c r="L95" s="433"/>
    </row>
    <row r="96" spans="2:12" s="122" customFormat="1" ht="12.75">
      <c r="B96" s="449" t="s">
        <v>927</v>
      </c>
      <c r="C96" s="422">
        <f>+(I96*I88+K96*K88)/E96</f>
        <v>44.32</v>
      </c>
      <c r="D96" s="450" t="s">
        <v>923</v>
      </c>
      <c r="E96" s="422">
        <v>50</v>
      </c>
      <c r="F96" s="451"/>
      <c r="G96" s="451"/>
      <c r="H96" s="451"/>
      <c r="I96" s="451">
        <v>1</v>
      </c>
      <c r="J96" s="451"/>
      <c r="K96" s="451">
        <v>1</v>
      </c>
      <c r="L96" s="433"/>
    </row>
    <row r="97" spans="2:16" s="122" customFormat="1" ht="12.75">
      <c r="B97" s="449" t="s">
        <v>119</v>
      </c>
      <c r="C97" s="422">
        <v>1848.02</v>
      </c>
      <c r="D97" s="450" t="s">
        <v>98</v>
      </c>
      <c r="E97" s="422"/>
      <c r="F97" s="451"/>
      <c r="G97" s="451"/>
      <c r="H97" s="451"/>
      <c r="I97" s="451"/>
      <c r="J97" s="451"/>
      <c r="K97" s="451"/>
      <c r="L97" s="433"/>
      <c r="N97" s="443"/>
      <c r="O97" s="444"/>
      <c r="P97" s="123"/>
    </row>
    <row r="98" spans="2:16" s="122" customFormat="1" ht="12.75">
      <c r="B98" s="449" t="s">
        <v>219</v>
      </c>
      <c r="C98" s="422">
        <v>1366.45</v>
      </c>
      <c r="D98" s="450" t="s">
        <v>98</v>
      </c>
      <c r="E98" s="422"/>
      <c r="F98" s="451"/>
      <c r="G98" s="451"/>
      <c r="H98" s="451"/>
      <c r="I98" s="451"/>
      <c r="J98" s="451"/>
      <c r="K98" s="451"/>
      <c r="L98" s="433"/>
      <c r="N98" s="443"/>
      <c r="O98" s="444"/>
      <c r="P98" s="123"/>
    </row>
    <row r="99" spans="2:16" s="122" customFormat="1" ht="12.75">
      <c r="B99" s="449" t="s">
        <v>120</v>
      </c>
      <c r="C99" s="422">
        <v>665.48</v>
      </c>
      <c r="D99" s="450" t="s">
        <v>98</v>
      </c>
      <c r="E99" s="422"/>
      <c r="F99" s="451"/>
      <c r="G99" s="451"/>
      <c r="H99" s="451"/>
      <c r="I99" s="451"/>
      <c r="J99" s="451"/>
      <c r="K99" s="451"/>
      <c r="L99" s="433"/>
      <c r="N99" s="443"/>
      <c r="O99" s="444"/>
      <c r="P99" s="123"/>
    </row>
    <row r="100" spans="2:16" s="122" customFormat="1" ht="12.75">
      <c r="B100" s="449" t="s">
        <v>121</v>
      </c>
      <c r="C100" s="422">
        <v>1848.02</v>
      </c>
      <c r="D100" s="450" t="s">
        <v>98</v>
      </c>
      <c r="E100" s="422"/>
      <c r="F100" s="451"/>
      <c r="G100" s="451"/>
      <c r="H100" s="451"/>
      <c r="I100" s="451"/>
      <c r="J100" s="451"/>
      <c r="K100" s="451"/>
      <c r="L100" s="433"/>
      <c r="N100" s="443"/>
      <c r="O100" s="444"/>
      <c r="P100" s="123"/>
    </row>
    <row r="101" spans="2:16" s="122" customFormat="1" ht="12.75">
      <c r="B101" s="449" t="s">
        <v>122</v>
      </c>
      <c r="C101" s="422">
        <v>992</v>
      </c>
      <c r="D101" s="450" t="s">
        <v>98</v>
      </c>
      <c r="E101" s="422"/>
      <c r="F101" s="451"/>
      <c r="G101" s="451"/>
      <c r="H101" s="451"/>
      <c r="I101" s="451"/>
      <c r="J101" s="451"/>
      <c r="K101" s="451"/>
      <c r="L101" s="433"/>
      <c r="N101" s="443"/>
      <c r="O101" s="444"/>
      <c r="P101" s="123"/>
    </row>
    <row r="102" spans="2:12" s="122" customFormat="1" ht="12.75">
      <c r="B102" s="448" t="s">
        <v>928</v>
      </c>
      <c r="C102" s="433"/>
      <c r="D102" s="450"/>
      <c r="E102" s="433"/>
      <c r="F102" s="433"/>
      <c r="G102" s="433"/>
      <c r="H102" s="433"/>
      <c r="I102" s="433"/>
      <c r="J102" s="433"/>
      <c r="K102" s="433"/>
      <c r="L102" s="433"/>
    </row>
    <row r="103" spans="2:16" s="122" customFormat="1" ht="12.75">
      <c r="B103" s="449" t="s">
        <v>929</v>
      </c>
      <c r="C103" s="422">
        <f>+(F103*F88+G103*G88+H103*H88+I103*I88+J103*J88+K103*K88+L103*L88)/E103</f>
        <v>27.5</v>
      </c>
      <c r="D103" s="450" t="s">
        <v>321</v>
      </c>
      <c r="E103" s="422">
        <v>125</v>
      </c>
      <c r="F103" s="451"/>
      <c r="G103" s="451"/>
      <c r="H103" s="451">
        <v>1</v>
      </c>
      <c r="I103" s="451"/>
      <c r="J103" s="451">
        <v>1</v>
      </c>
      <c r="K103" s="451">
        <v>1</v>
      </c>
      <c r="L103" s="433"/>
      <c r="N103" s="443"/>
      <c r="O103" s="444"/>
      <c r="P103" s="123"/>
    </row>
    <row r="104" spans="2:16" s="122" customFormat="1" ht="12.75">
      <c r="B104" s="449" t="s">
        <v>930</v>
      </c>
      <c r="C104" s="422">
        <f>+(F104*F88+G104*G88+H104*H88+I104*I88+J104*J88+K104*K88+L104*L88)/E104</f>
        <v>21.48</v>
      </c>
      <c r="D104" s="450" t="s">
        <v>321</v>
      </c>
      <c r="E104" s="422">
        <v>160</v>
      </c>
      <c r="F104" s="451"/>
      <c r="G104" s="451"/>
      <c r="H104" s="451">
        <v>1</v>
      </c>
      <c r="I104" s="451"/>
      <c r="J104" s="451">
        <v>1</v>
      </c>
      <c r="K104" s="451">
        <v>1</v>
      </c>
      <c r="L104" s="433"/>
      <c r="N104" s="443"/>
      <c r="O104" s="444"/>
      <c r="P104" s="123"/>
    </row>
    <row r="105" spans="2:16" s="122" customFormat="1" ht="12.75">
      <c r="B105" s="449" t="s">
        <v>931</v>
      </c>
      <c r="C105" s="422">
        <f>+(F105*F88+G105*G88+H105*H88+I105*I88+J105*J88+K105*K88+L105*L88)/E105</f>
        <v>22.91</v>
      </c>
      <c r="D105" s="450" t="s">
        <v>321</v>
      </c>
      <c r="E105" s="422">
        <v>150</v>
      </c>
      <c r="F105" s="451"/>
      <c r="G105" s="451"/>
      <c r="H105" s="451">
        <v>1</v>
      </c>
      <c r="I105" s="451"/>
      <c r="J105" s="451">
        <v>1</v>
      </c>
      <c r="K105" s="451">
        <v>1</v>
      </c>
      <c r="L105" s="433"/>
      <c r="N105" s="443"/>
      <c r="O105" s="444"/>
      <c r="P105" s="123"/>
    </row>
    <row r="106" spans="2:16" s="122" customFormat="1" ht="12.75">
      <c r="B106" s="449" t="s">
        <v>932</v>
      </c>
      <c r="C106" s="422">
        <f>+(F106*F88+G106*G88+H106*H88+I106*I88+J106*J88+K106*K88+L106*L88)/E106</f>
        <v>25.46</v>
      </c>
      <c r="D106" s="450" t="s">
        <v>321</v>
      </c>
      <c r="E106" s="422">
        <v>135</v>
      </c>
      <c r="F106" s="451"/>
      <c r="G106" s="451"/>
      <c r="H106" s="451">
        <v>1</v>
      </c>
      <c r="I106" s="451"/>
      <c r="J106" s="451">
        <v>1</v>
      </c>
      <c r="K106" s="451">
        <v>1</v>
      </c>
      <c r="L106" s="433"/>
      <c r="N106" s="443"/>
      <c r="O106" s="444"/>
      <c r="P106" s="123"/>
    </row>
    <row r="107" spans="2:16" s="122" customFormat="1" ht="12.75">
      <c r="B107" s="449" t="s">
        <v>933</v>
      </c>
      <c r="C107" s="422">
        <f>+(F107*F88+G107*G88+H107*H88+I107*I88+J107*J88+K107*K88+L107*L88)/E107</f>
        <v>25.46</v>
      </c>
      <c r="D107" s="450" t="s">
        <v>321</v>
      </c>
      <c r="E107" s="422">
        <v>135</v>
      </c>
      <c r="F107" s="451"/>
      <c r="G107" s="451"/>
      <c r="H107" s="451">
        <v>1</v>
      </c>
      <c r="I107" s="451"/>
      <c r="J107" s="451">
        <v>1</v>
      </c>
      <c r="K107" s="451">
        <v>1</v>
      </c>
      <c r="L107" s="433"/>
      <c r="N107" s="443"/>
      <c r="O107" s="444"/>
      <c r="P107" s="123"/>
    </row>
    <row r="108" spans="2:16" s="122" customFormat="1" ht="12.75">
      <c r="B108" s="449" t="s">
        <v>934</v>
      </c>
      <c r="C108" s="422">
        <f>+(F108*F88+G108*G88+H108*H88+I108*I88+J108*J88+K108*K88+L108*L88)/E108</f>
        <v>47.1</v>
      </c>
      <c r="D108" s="450" t="s">
        <v>321</v>
      </c>
      <c r="E108" s="422">
        <v>90</v>
      </c>
      <c r="F108" s="451"/>
      <c r="G108" s="451"/>
      <c r="H108" s="451">
        <v>1</v>
      </c>
      <c r="I108" s="451"/>
      <c r="J108" s="451">
        <v>1</v>
      </c>
      <c r="K108" s="451">
        <v>1</v>
      </c>
      <c r="L108" s="434">
        <v>1</v>
      </c>
      <c r="N108" s="443"/>
      <c r="O108" s="444"/>
      <c r="P108" s="123"/>
    </row>
    <row r="109" spans="2:16" s="122" customFormat="1" ht="12.75">
      <c r="B109" s="449" t="s">
        <v>935</v>
      </c>
      <c r="C109" s="422">
        <f>+(F109*F88+G109*G88+H109*H88+I109*I88+J109*J88+K109*K88+L109*L88)/E109</f>
        <v>3.06</v>
      </c>
      <c r="D109" s="450" t="s">
        <v>321</v>
      </c>
      <c r="E109" s="422">
        <v>785</v>
      </c>
      <c r="F109" s="451"/>
      <c r="G109" s="451"/>
      <c r="H109" s="451">
        <v>1</v>
      </c>
      <c r="I109" s="451"/>
      <c r="J109" s="451"/>
      <c r="K109" s="434">
        <v>1</v>
      </c>
      <c r="L109" s="433"/>
      <c r="N109" s="443"/>
      <c r="O109" s="444"/>
      <c r="P109" s="123"/>
    </row>
    <row r="110" spans="2:16" s="122" customFormat="1" ht="12.75">
      <c r="B110" s="449" t="s">
        <v>936</v>
      </c>
      <c r="C110" s="422">
        <f>+(F110*F88+G110*G88+H110*H88+I110*I88+J110*J88+K110*K88+L110*L88)/E110</f>
        <v>2.05</v>
      </c>
      <c r="D110" s="450" t="s">
        <v>321</v>
      </c>
      <c r="E110" s="422">
        <v>1175</v>
      </c>
      <c r="F110" s="451"/>
      <c r="G110" s="451"/>
      <c r="H110" s="451">
        <v>1</v>
      </c>
      <c r="I110" s="451"/>
      <c r="J110" s="451"/>
      <c r="K110" s="434">
        <v>1</v>
      </c>
      <c r="L110" s="433"/>
      <c r="N110" s="443"/>
      <c r="O110" s="444"/>
      <c r="P110" s="123"/>
    </row>
    <row r="111" spans="2:16" s="122" customFormat="1" ht="12.75">
      <c r="B111" s="449" t="s">
        <v>937</v>
      </c>
      <c r="C111" s="422">
        <f>+(F111*F88+G111*G88+H111*H88+I111*I88+J111*J88+K111*K88+L111*L88)/E111</f>
        <v>1.54</v>
      </c>
      <c r="D111" s="450" t="s">
        <v>321</v>
      </c>
      <c r="E111" s="422">
        <v>1565</v>
      </c>
      <c r="F111" s="451"/>
      <c r="G111" s="451"/>
      <c r="H111" s="451">
        <v>1</v>
      </c>
      <c r="I111" s="451"/>
      <c r="J111" s="451"/>
      <c r="K111" s="434">
        <v>1</v>
      </c>
      <c r="L111" s="433"/>
      <c r="N111" s="443"/>
      <c r="O111" s="444"/>
      <c r="P111" s="123"/>
    </row>
    <row r="112" spans="2:16" s="122" customFormat="1" ht="12.75">
      <c r="B112" s="449" t="s">
        <v>938</v>
      </c>
      <c r="C112" s="422">
        <f>+(F112*F88+G112*G88+H112*H88+I112*I88+J112*J88+K112*K88+L112*L88)/E112</f>
        <v>1.02</v>
      </c>
      <c r="D112" s="450" t="s">
        <v>321</v>
      </c>
      <c r="E112" s="422">
        <v>2350</v>
      </c>
      <c r="F112" s="451"/>
      <c r="G112" s="451"/>
      <c r="H112" s="451">
        <v>1</v>
      </c>
      <c r="I112" s="451"/>
      <c r="J112" s="451"/>
      <c r="K112" s="434">
        <v>1</v>
      </c>
      <c r="L112" s="433"/>
      <c r="N112" s="443"/>
      <c r="O112" s="444"/>
      <c r="P112" s="123"/>
    </row>
    <row r="113" spans="2:16" s="122" customFormat="1" ht="12.75">
      <c r="B113" s="449" t="s">
        <v>939</v>
      </c>
      <c r="C113" s="422">
        <f>+(F113*F88+G113*G88+H113*H88+I113*I88+J113*J88+K113*K88+L113*L88)/E113</f>
        <v>7.64</v>
      </c>
      <c r="D113" s="450" t="s">
        <v>321</v>
      </c>
      <c r="E113" s="422">
        <v>315</v>
      </c>
      <c r="F113" s="451"/>
      <c r="G113" s="451"/>
      <c r="H113" s="451">
        <v>1</v>
      </c>
      <c r="I113" s="451"/>
      <c r="J113" s="451"/>
      <c r="K113" s="434">
        <v>1</v>
      </c>
      <c r="L113" s="433"/>
      <c r="N113" s="443"/>
      <c r="O113" s="444"/>
      <c r="P113" s="123"/>
    </row>
    <row r="114" spans="2:16" s="122" customFormat="1" ht="12.75">
      <c r="B114" s="449" t="s">
        <v>940</v>
      </c>
      <c r="C114" s="452">
        <f>+(F114*F88+G114*G88+H114*H88+I114*I88+J114*J88+K114*K88+L114*L88)/E114</f>
        <v>4.11</v>
      </c>
      <c r="D114" s="450" t="s">
        <v>321</v>
      </c>
      <c r="E114" s="422">
        <v>585</v>
      </c>
      <c r="F114" s="451"/>
      <c r="G114" s="451"/>
      <c r="H114" s="451">
        <v>1</v>
      </c>
      <c r="I114" s="451"/>
      <c r="J114" s="451"/>
      <c r="K114" s="434">
        <v>1</v>
      </c>
      <c r="L114" s="433"/>
      <c r="N114" s="443"/>
      <c r="O114" s="444"/>
      <c r="P114" s="123"/>
    </row>
    <row r="115" spans="2:16" s="122" customFormat="1" ht="12.75">
      <c r="B115" s="449" t="s">
        <v>941</v>
      </c>
      <c r="C115" s="452">
        <f>+(F115*F88+G115*G88+H115*H88+I115*I88+J115*J88+K115*K88+L115*L88)/E115</f>
        <v>3.06</v>
      </c>
      <c r="D115" s="450" t="s">
        <v>321</v>
      </c>
      <c r="E115" s="422">
        <v>785</v>
      </c>
      <c r="F115" s="451"/>
      <c r="G115" s="451"/>
      <c r="H115" s="451">
        <v>1</v>
      </c>
      <c r="I115" s="451"/>
      <c r="J115" s="451"/>
      <c r="K115" s="434">
        <v>1</v>
      </c>
      <c r="L115" s="433"/>
      <c r="N115" s="443"/>
      <c r="O115" s="444"/>
      <c r="P115" s="123"/>
    </row>
    <row r="116" spans="2:16" s="122" customFormat="1" ht="12.75">
      <c r="B116" s="449" t="s">
        <v>942</v>
      </c>
      <c r="C116" s="452">
        <f>+(F116*F88+G116*G88+H116*H88+I116*I88+J116*J88+K116*K88+L116*L88)/E116</f>
        <v>2.05</v>
      </c>
      <c r="D116" s="450" t="s">
        <v>321</v>
      </c>
      <c r="E116" s="422">
        <v>1175</v>
      </c>
      <c r="F116" s="451"/>
      <c r="G116" s="451"/>
      <c r="H116" s="451">
        <v>1</v>
      </c>
      <c r="I116" s="451"/>
      <c r="J116" s="451"/>
      <c r="K116" s="434">
        <v>1</v>
      </c>
      <c r="L116" s="433"/>
      <c r="N116" s="443"/>
      <c r="O116" s="444"/>
      <c r="P116" s="123"/>
    </row>
    <row r="117" spans="2:16" s="122" customFormat="1" ht="12.75">
      <c r="B117" s="449" t="s">
        <v>943</v>
      </c>
      <c r="C117" s="452">
        <f>+K117*K88/E117</f>
        <v>1.75</v>
      </c>
      <c r="D117" s="450" t="s">
        <v>321</v>
      </c>
      <c r="E117" s="422">
        <v>1500</v>
      </c>
      <c r="F117" s="451"/>
      <c r="G117" s="451"/>
      <c r="H117" s="451"/>
      <c r="I117" s="451"/>
      <c r="J117" s="451"/>
      <c r="K117" s="434">
        <v>3</v>
      </c>
      <c r="L117" s="433"/>
      <c r="N117" s="443"/>
      <c r="O117" s="444"/>
      <c r="P117" s="123"/>
    </row>
    <row r="118" spans="2:16" s="122" customFormat="1" ht="12.75">
      <c r="B118" s="449"/>
      <c r="C118" s="452"/>
      <c r="D118" s="450"/>
      <c r="E118" s="422"/>
      <c r="F118" s="451"/>
      <c r="G118" s="451"/>
      <c r="H118" s="451"/>
      <c r="I118" s="451"/>
      <c r="J118" s="451"/>
      <c r="K118" s="451"/>
      <c r="L118" s="433"/>
      <c r="N118" s="443"/>
      <c r="O118" s="444"/>
      <c r="P118" s="123"/>
    </row>
    <row r="119" spans="2:16" s="122" customFormat="1" ht="12.75">
      <c r="B119" s="448" t="s">
        <v>944</v>
      </c>
      <c r="C119" s="452"/>
      <c r="D119" s="450"/>
      <c r="E119" s="422"/>
      <c r="F119" s="451"/>
      <c r="G119" s="451"/>
      <c r="H119" s="451"/>
      <c r="I119" s="451"/>
      <c r="J119" s="451"/>
      <c r="K119" s="451"/>
      <c r="L119" s="433"/>
      <c r="N119" s="443"/>
      <c r="O119" s="444"/>
      <c r="P119" s="123"/>
    </row>
    <row r="120" spans="2:16" s="122" customFormat="1" ht="12.75">
      <c r="B120" s="449" t="s">
        <v>945</v>
      </c>
      <c r="C120" s="452">
        <f>+(I120*I88+L120*L88)/E120</f>
        <v>97.29</v>
      </c>
      <c r="D120" s="450" t="s">
        <v>673</v>
      </c>
      <c r="E120" s="422">
        <v>22</v>
      </c>
      <c r="F120" s="451"/>
      <c r="G120" s="451"/>
      <c r="H120" s="451"/>
      <c r="I120" s="451">
        <v>1</v>
      </c>
      <c r="J120" s="451"/>
      <c r="K120" s="434"/>
      <c r="L120" s="433">
        <v>1</v>
      </c>
      <c r="N120" s="443"/>
      <c r="O120" s="444"/>
      <c r="P120" s="123"/>
    </row>
    <row r="121" spans="2:16" s="122" customFormat="1" ht="25.5">
      <c r="B121" s="453" t="s">
        <v>946</v>
      </c>
      <c r="C121" s="454">
        <f>+(G121*G88+K121*K88)/E121</f>
        <v>464.51</v>
      </c>
      <c r="D121" s="450" t="s">
        <v>673</v>
      </c>
      <c r="E121" s="422">
        <v>6</v>
      </c>
      <c r="F121" s="451"/>
      <c r="G121" s="451">
        <v>1</v>
      </c>
      <c r="H121" s="451"/>
      <c r="I121" s="451"/>
      <c r="J121" s="451"/>
      <c r="K121" s="455">
        <v>1</v>
      </c>
      <c r="L121" s="456"/>
      <c r="M121" s="457"/>
      <c r="N121" s="443"/>
      <c r="O121" s="444"/>
      <c r="P121" s="123"/>
    </row>
    <row r="122" spans="2:16" s="122" customFormat="1" ht="25.5">
      <c r="B122" s="453" t="s">
        <v>947</v>
      </c>
      <c r="C122" s="454">
        <f>+(G122*G88+K122*K88)/E122</f>
        <v>530.87</v>
      </c>
      <c r="D122" s="450" t="s">
        <v>673</v>
      </c>
      <c r="E122" s="422">
        <v>5.25</v>
      </c>
      <c r="F122" s="451"/>
      <c r="G122" s="451">
        <v>1</v>
      </c>
      <c r="H122" s="451"/>
      <c r="I122" s="451"/>
      <c r="J122" s="451"/>
      <c r="K122" s="455">
        <v>1</v>
      </c>
      <c r="L122" s="433"/>
      <c r="N122" s="443"/>
      <c r="O122" s="444"/>
      <c r="P122" s="123"/>
    </row>
    <row r="123" spans="2:16" s="122" customFormat="1" ht="25.5">
      <c r="B123" s="453" t="s">
        <v>948</v>
      </c>
      <c r="C123" s="454">
        <f>+(G123*G88+K123*K88)/E123</f>
        <v>488.96</v>
      </c>
      <c r="D123" s="450" t="s">
        <v>402</v>
      </c>
      <c r="E123" s="422">
        <v>5.7</v>
      </c>
      <c r="F123" s="451"/>
      <c r="G123" s="451">
        <v>1</v>
      </c>
      <c r="H123" s="451"/>
      <c r="I123" s="451"/>
      <c r="J123" s="451"/>
      <c r="K123" s="455">
        <v>1</v>
      </c>
      <c r="L123" s="433"/>
      <c r="N123" s="443"/>
      <c r="O123" s="444"/>
      <c r="P123" s="123"/>
    </row>
    <row r="124" spans="2:16" s="122" customFormat="1" ht="12.75">
      <c r="B124" s="449" t="s">
        <v>949</v>
      </c>
      <c r="C124" s="454">
        <f>+(G124*G88+K124*K88)/E124</f>
        <v>605.88</v>
      </c>
      <c r="D124" s="450" t="s">
        <v>402</v>
      </c>
      <c r="E124" s="422">
        <v>4.6</v>
      </c>
      <c r="F124" s="451"/>
      <c r="G124" s="451">
        <v>1</v>
      </c>
      <c r="H124" s="451"/>
      <c r="I124" s="451"/>
      <c r="J124" s="451"/>
      <c r="K124" s="455">
        <v>1</v>
      </c>
      <c r="L124" s="433"/>
      <c r="N124" s="443"/>
      <c r="O124" s="444"/>
      <c r="P124" s="123"/>
    </row>
    <row r="125" spans="2:16" s="122" customFormat="1" ht="12.75">
      <c r="B125" s="449" t="s">
        <v>950</v>
      </c>
      <c r="C125" s="454">
        <f>+(G125*G88+K125*K88)/E125</f>
        <v>92.9</v>
      </c>
      <c r="D125" s="450" t="s">
        <v>398</v>
      </c>
      <c r="E125" s="422">
        <v>30</v>
      </c>
      <c r="F125" s="451"/>
      <c r="G125" s="451">
        <v>1</v>
      </c>
      <c r="H125" s="451"/>
      <c r="I125" s="451"/>
      <c r="J125" s="451"/>
      <c r="K125" s="455">
        <v>1</v>
      </c>
      <c r="L125" s="433"/>
      <c r="N125" s="443"/>
      <c r="O125" s="444"/>
      <c r="P125" s="123"/>
    </row>
    <row r="126" spans="2:16" s="122" customFormat="1" ht="12.75">
      <c r="B126" s="449" t="s">
        <v>951</v>
      </c>
      <c r="C126" s="454">
        <f>+(G126*G88+K126*K88)/E126</f>
        <v>163.94</v>
      </c>
      <c r="D126" s="450" t="s">
        <v>398</v>
      </c>
      <c r="E126" s="422">
        <v>17</v>
      </c>
      <c r="F126" s="451"/>
      <c r="G126" s="451">
        <v>1</v>
      </c>
      <c r="H126" s="451"/>
      <c r="I126" s="451"/>
      <c r="J126" s="451"/>
      <c r="K126" s="455">
        <v>1</v>
      </c>
      <c r="L126" s="433"/>
      <c r="N126" s="443"/>
      <c r="O126" s="444"/>
      <c r="P126" s="123"/>
    </row>
    <row r="127" spans="2:16" s="122" customFormat="1" ht="12.75">
      <c r="B127" s="449" t="s">
        <v>952</v>
      </c>
      <c r="C127" s="454">
        <f>+(G127*G88+K127*K88)/E127</f>
        <v>214.39</v>
      </c>
      <c r="D127" s="450" t="s">
        <v>398</v>
      </c>
      <c r="E127" s="422">
        <v>13</v>
      </c>
      <c r="F127" s="451"/>
      <c r="G127" s="451">
        <v>1</v>
      </c>
      <c r="H127" s="451"/>
      <c r="I127" s="451"/>
      <c r="J127" s="451"/>
      <c r="K127" s="455">
        <v>1</v>
      </c>
      <c r="L127" s="433"/>
      <c r="N127" s="443"/>
      <c r="O127" s="444"/>
      <c r="P127" s="123"/>
    </row>
    <row r="128" spans="2:16" s="122" customFormat="1" ht="12.75">
      <c r="B128" s="449" t="s">
        <v>953</v>
      </c>
      <c r="C128" s="454">
        <f>+(G128*G88+K128*K88)/E128</f>
        <v>126.68</v>
      </c>
      <c r="D128" s="450" t="s">
        <v>398</v>
      </c>
      <c r="E128" s="422">
        <v>22</v>
      </c>
      <c r="F128" s="451"/>
      <c r="G128" s="451">
        <v>1</v>
      </c>
      <c r="H128" s="451"/>
      <c r="I128" s="451"/>
      <c r="J128" s="451"/>
      <c r="K128" s="455">
        <v>1</v>
      </c>
      <c r="L128" s="433"/>
      <c r="N128" s="443"/>
      <c r="O128" s="444"/>
      <c r="P128" s="123"/>
    </row>
    <row r="129" spans="2:16" s="122" customFormat="1" ht="12.75">
      <c r="B129" s="449" t="s">
        <v>954</v>
      </c>
      <c r="C129" s="422">
        <f>+K129*K88/E129</f>
        <v>10.97</v>
      </c>
      <c r="D129" s="450" t="s">
        <v>321</v>
      </c>
      <c r="E129" s="422">
        <v>80</v>
      </c>
      <c r="F129" s="451"/>
      <c r="G129" s="451"/>
      <c r="H129" s="451"/>
      <c r="I129" s="451"/>
      <c r="J129" s="451"/>
      <c r="K129" s="451">
        <v>1</v>
      </c>
      <c r="L129" s="433"/>
      <c r="N129" s="443"/>
      <c r="O129" s="444"/>
      <c r="P129" s="123"/>
    </row>
    <row r="130" spans="2:16" s="122" customFormat="1" ht="12.75">
      <c r="B130" s="449" t="s">
        <v>955</v>
      </c>
      <c r="C130" s="422">
        <f>+K130*K88/E130</f>
        <v>5.85</v>
      </c>
      <c r="D130" s="450" t="s">
        <v>321</v>
      </c>
      <c r="E130" s="422">
        <v>150</v>
      </c>
      <c r="F130" s="451"/>
      <c r="G130" s="451"/>
      <c r="H130" s="451"/>
      <c r="I130" s="451"/>
      <c r="J130" s="451"/>
      <c r="K130" s="451">
        <v>1</v>
      </c>
      <c r="L130" s="433"/>
      <c r="N130" s="443"/>
      <c r="O130" s="444"/>
      <c r="P130" s="123"/>
    </row>
    <row r="131" spans="2:16" s="122" customFormat="1" ht="12.75">
      <c r="B131" s="449" t="s">
        <v>956</v>
      </c>
      <c r="C131" s="422">
        <f>+K131*K88/E131</f>
        <v>263.24</v>
      </c>
      <c r="D131" s="450" t="s">
        <v>402</v>
      </c>
      <c r="E131" s="422">
        <v>10</v>
      </c>
      <c r="F131" s="451"/>
      <c r="G131" s="451"/>
      <c r="H131" s="451"/>
      <c r="I131" s="451"/>
      <c r="J131" s="451"/>
      <c r="K131" s="451">
        <v>3</v>
      </c>
      <c r="L131" s="433"/>
      <c r="N131" s="443"/>
      <c r="O131" s="444"/>
      <c r="P131" s="123"/>
    </row>
    <row r="132" spans="2:16" s="122" customFormat="1" ht="12.75">
      <c r="B132" s="449" t="s">
        <v>957</v>
      </c>
      <c r="C132" s="422">
        <f>+K132*K88/E132</f>
        <v>10.97</v>
      </c>
      <c r="D132" s="450" t="s">
        <v>958</v>
      </c>
      <c r="E132" s="422">
        <v>240</v>
      </c>
      <c r="F132" s="451"/>
      <c r="G132" s="451"/>
      <c r="H132" s="451"/>
      <c r="I132" s="451"/>
      <c r="J132" s="451"/>
      <c r="K132" s="451">
        <v>3</v>
      </c>
      <c r="L132" s="433"/>
      <c r="N132" s="443"/>
      <c r="O132" s="444"/>
      <c r="P132" s="123"/>
    </row>
    <row r="133" spans="2:16" s="122" customFormat="1" ht="12.75">
      <c r="B133" s="449" t="s">
        <v>957</v>
      </c>
      <c r="C133" s="422">
        <f>+L133*L88/E133</f>
        <v>0.99</v>
      </c>
      <c r="D133" s="450" t="s">
        <v>301</v>
      </c>
      <c r="E133" s="422">
        <f>54*30</f>
        <v>1620</v>
      </c>
      <c r="F133" s="451"/>
      <c r="G133" s="451"/>
      <c r="H133" s="451"/>
      <c r="I133" s="451"/>
      <c r="J133" s="451"/>
      <c r="K133" s="433"/>
      <c r="L133" s="451">
        <v>2</v>
      </c>
      <c r="N133" s="443"/>
      <c r="O133" s="444"/>
      <c r="P133" s="123"/>
    </row>
    <row r="134" spans="2:254" s="122" customFormat="1" ht="12.75">
      <c r="B134" s="449"/>
      <c r="C134" s="422"/>
      <c r="D134" s="450"/>
      <c r="E134" s="422"/>
      <c r="F134" s="451"/>
      <c r="G134" s="451"/>
      <c r="H134" s="451"/>
      <c r="I134" s="451"/>
      <c r="J134" s="451"/>
      <c r="K134" s="451"/>
      <c r="L134" s="433"/>
      <c r="M134" s="129"/>
      <c r="N134" s="443"/>
      <c r="O134" s="444"/>
      <c r="P134" s="113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</row>
    <row r="135" spans="2:16" s="122" customFormat="1" ht="25.5">
      <c r="B135" s="458" t="s">
        <v>959</v>
      </c>
      <c r="C135" s="454"/>
      <c r="D135" s="422"/>
      <c r="E135" s="422"/>
      <c r="F135" s="451"/>
      <c r="G135" s="451"/>
      <c r="H135" s="451"/>
      <c r="I135" s="451"/>
      <c r="J135" s="451"/>
      <c r="K135" s="455"/>
      <c r="L135" s="433"/>
      <c r="N135" s="443"/>
      <c r="O135" s="444"/>
      <c r="P135" s="123"/>
    </row>
    <row r="136" spans="2:16" s="122" customFormat="1" ht="12.75">
      <c r="B136" s="449" t="s">
        <v>960</v>
      </c>
      <c r="C136" s="454">
        <f>+(H136*I88+J136*K88+K136*L88)/E136</f>
        <v>71.85</v>
      </c>
      <c r="D136" s="422" t="s">
        <v>673</v>
      </c>
      <c r="E136" s="451">
        <v>42</v>
      </c>
      <c r="F136" s="451"/>
      <c r="G136" s="451"/>
      <c r="H136" s="451">
        <v>1</v>
      </c>
      <c r="I136" s="451"/>
      <c r="J136" s="455">
        <v>1</v>
      </c>
      <c r="K136" s="451">
        <v>1</v>
      </c>
      <c r="L136" s="433"/>
      <c r="N136" s="443"/>
      <c r="O136" s="444"/>
      <c r="P136" s="123"/>
    </row>
    <row r="137" spans="2:16" s="122" customFormat="1" ht="12.75">
      <c r="B137" s="449" t="s">
        <v>961</v>
      </c>
      <c r="C137" s="454">
        <f>+(H137*I88+J137*K88+K137*L88)/E137</f>
        <v>150.89</v>
      </c>
      <c r="D137" s="422" t="s">
        <v>673</v>
      </c>
      <c r="E137" s="451">
        <v>20</v>
      </c>
      <c r="F137" s="451"/>
      <c r="G137" s="451"/>
      <c r="H137" s="451">
        <v>1</v>
      </c>
      <c r="I137" s="451">
        <v>1</v>
      </c>
      <c r="J137" s="455">
        <v>1</v>
      </c>
      <c r="K137" s="451">
        <v>1</v>
      </c>
      <c r="L137" s="433"/>
      <c r="N137" s="443"/>
      <c r="O137" s="444"/>
      <c r="P137" s="123"/>
    </row>
    <row r="138" spans="2:16" s="122" customFormat="1" ht="12.75">
      <c r="B138" s="449" t="s">
        <v>962</v>
      </c>
      <c r="C138" s="454">
        <f>+(G138*I88+J138*K88+K138*L88)/E138</f>
        <v>208.12</v>
      </c>
      <c r="D138" s="422" t="s">
        <v>673</v>
      </c>
      <c r="E138" s="451">
        <v>14.5</v>
      </c>
      <c r="F138" s="451"/>
      <c r="G138" s="451">
        <v>1</v>
      </c>
      <c r="H138" s="451"/>
      <c r="I138" s="451"/>
      <c r="J138" s="455">
        <v>1</v>
      </c>
      <c r="K138" s="451">
        <v>1</v>
      </c>
      <c r="L138" s="433"/>
      <c r="N138" s="443"/>
      <c r="O138" s="444"/>
      <c r="P138" s="123"/>
    </row>
    <row r="139" spans="2:16" s="122" customFormat="1" ht="12.75">
      <c r="B139" s="449" t="s">
        <v>963</v>
      </c>
      <c r="C139" s="454">
        <f>+(H139*I88+K139*L88)/E139</f>
        <v>133.77</v>
      </c>
      <c r="D139" s="422" t="s">
        <v>923</v>
      </c>
      <c r="E139" s="451">
        <v>16</v>
      </c>
      <c r="F139" s="451"/>
      <c r="G139" s="451"/>
      <c r="H139" s="451">
        <v>1</v>
      </c>
      <c r="I139" s="451"/>
      <c r="J139" s="455"/>
      <c r="K139" s="451">
        <v>1</v>
      </c>
      <c r="L139" s="433"/>
      <c r="N139" s="443"/>
      <c r="O139" s="444"/>
      <c r="P139" s="123"/>
    </row>
    <row r="140" spans="2:16" s="122" customFormat="1" ht="12.75">
      <c r="B140" s="449" t="s">
        <v>964</v>
      </c>
      <c r="C140" s="454">
        <f>+(J140*K88+K140*L88)/E140</f>
        <v>24.34</v>
      </c>
      <c r="D140" s="422" t="s">
        <v>673</v>
      </c>
      <c r="E140" s="451">
        <v>69</v>
      </c>
      <c r="F140" s="451"/>
      <c r="G140" s="451"/>
      <c r="H140" s="451"/>
      <c r="I140" s="451"/>
      <c r="J140" s="455">
        <v>1</v>
      </c>
      <c r="K140" s="451">
        <v>1</v>
      </c>
      <c r="L140" s="433"/>
      <c r="N140" s="443"/>
      <c r="O140" s="444"/>
      <c r="P140" s="123"/>
    </row>
    <row r="141" spans="2:16" s="122" customFormat="1" ht="12.75">
      <c r="B141" s="449" t="s">
        <v>965</v>
      </c>
      <c r="C141" s="454">
        <f>+(H141*I88+K141*L88)/E141</f>
        <v>164.64</v>
      </c>
      <c r="D141" s="422" t="s">
        <v>923</v>
      </c>
      <c r="E141" s="451">
        <v>13</v>
      </c>
      <c r="F141" s="451"/>
      <c r="G141" s="451"/>
      <c r="H141" s="451">
        <v>1</v>
      </c>
      <c r="I141" s="451"/>
      <c r="J141" s="455"/>
      <c r="K141" s="451">
        <v>1</v>
      </c>
      <c r="L141" s="433"/>
      <c r="N141" s="443"/>
      <c r="O141" s="444"/>
      <c r="P141" s="123"/>
    </row>
    <row r="142" spans="2:16" s="122" customFormat="1" ht="12.75">
      <c r="B142" s="449" t="s">
        <v>966</v>
      </c>
      <c r="C142" s="454">
        <f>+(H142*I88+K142*L88)/E142</f>
        <v>142.69</v>
      </c>
      <c r="D142" s="422" t="s">
        <v>923</v>
      </c>
      <c r="E142" s="451">
        <v>15</v>
      </c>
      <c r="F142" s="451"/>
      <c r="G142" s="451"/>
      <c r="H142" s="451">
        <v>1</v>
      </c>
      <c r="I142" s="451"/>
      <c r="J142" s="455"/>
      <c r="K142" s="451">
        <v>1</v>
      </c>
      <c r="L142" s="433"/>
      <c r="N142" s="443"/>
      <c r="O142" s="444"/>
      <c r="P142" s="123"/>
    </row>
    <row r="143" spans="2:16" s="122" customFormat="1" ht="12.75">
      <c r="B143" s="449" t="s">
        <v>967</v>
      </c>
      <c r="C143" s="454">
        <f>+(G143*H88+I143*I88+J143*J88+K143*K88)/E143</f>
        <v>318.38</v>
      </c>
      <c r="D143" s="422" t="s">
        <v>673</v>
      </c>
      <c r="E143" s="451">
        <v>15</v>
      </c>
      <c r="F143" s="451"/>
      <c r="G143" s="451">
        <v>1</v>
      </c>
      <c r="H143" s="451"/>
      <c r="I143" s="451">
        <v>1</v>
      </c>
      <c r="J143" s="455">
        <v>1</v>
      </c>
      <c r="K143" s="451">
        <v>1</v>
      </c>
      <c r="L143" s="433"/>
      <c r="N143" s="443"/>
      <c r="O143" s="444"/>
      <c r="P143" s="123"/>
    </row>
    <row r="144" spans="2:16" s="122" customFormat="1" ht="12.75">
      <c r="B144" s="449" t="s">
        <v>968</v>
      </c>
      <c r="C144" s="454">
        <f>+(G144*H88+I144*J88+J144*K88+K144*L88)/E144</f>
        <v>192.67</v>
      </c>
      <c r="D144" s="422" t="s">
        <v>673</v>
      </c>
      <c r="E144" s="451">
        <v>22</v>
      </c>
      <c r="F144" s="451"/>
      <c r="G144" s="451">
        <v>1</v>
      </c>
      <c r="H144" s="451"/>
      <c r="I144" s="451">
        <v>1</v>
      </c>
      <c r="J144" s="455">
        <v>1</v>
      </c>
      <c r="K144" s="451">
        <v>1</v>
      </c>
      <c r="L144" s="433"/>
      <c r="N144" s="443"/>
      <c r="O144" s="444"/>
      <c r="P144" s="123"/>
    </row>
    <row r="145" spans="2:16" s="122" customFormat="1" ht="12.75">
      <c r="B145" s="449" t="s">
        <v>969</v>
      </c>
      <c r="C145" s="454">
        <f>+(G145*H88+J145*K88+K145*L88)/E145</f>
        <v>320.74</v>
      </c>
      <c r="D145" s="422" t="s">
        <v>673</v>
      </c>
      <c r="E145" s="451">
        <v>10</v>
      </c>
      <c r="F145" s="451"/>
      <c r="G145" s="451">
        <v>1</v>
      </c>
      <c r="H145" s="451"/>
      <c r="I145" s="451"/>
      <c r="J145" s="455">
        <v>1</v>
      </c>
      <c r="K145" s="451">
        <v>1</v>
      </c>
      <c r="L145" s="433"/>
      <c r="N145" s="443"/>
      <c r="O145" s="444"/>
      <c r="P145" s="123"/>
    </row>
    <row r="146" spans="2:16" s="122" customFormat="1" ht="12.75">
      <c r="B146" s="449" t="s">
        <v>970</v>
      </c>
      <c r="C146" s="454">
        <f>+(G146*H88+I146*J88+J146*K88+K146*L88)/E146</f>
        <v>151.38</v>
      </c>
      <c r="D146" s="422" t="s">
        <v>673</v>
      </c>
      <c r="E146" s="451">
        <v>28</v>
      </c>
      <c r="F146" s="451"/>
      <c r="G146" s="451">
        <v>1</v>
      </c>
      <c r="H146" s="451"/>
      <c r="I146" s="451">
        <v>1</v>
      </c>
      <c r="J146" s="455">
        <v>1</v>
      </c>
      <c r="K146" s="451">
        <v>1</v>
      </c>
      <c r="L146" s="433"/>
      <c r="N146" s="443"/>
      <c r="O146" s="444"/>
      <c r="P146" s="123"/>
    </row>
    <row r="147" spans="2:16" s="122" customFormat="1" ht="12.75">
      <c r="B147" s="449" t="s">
        <v>971</v>
      </c>
      <c r="C147" s="454">
        <f>+(G147*H88+J147*K88+K147*L88)/E147</f>
        <v>188.67</v>
      </c>
      <c r="D147" s="422" t="s">
        <v>673</v>
      </c>
      <c r="E147" s="451">
        <v>17</v>
      </c>
      <c r="F147" s="451"/>
      <c r="G147" s="451">
        <v>1</v>
      </c>
      <c r="H147" s="451"/>
      <c r="I147" s="451"/>
      <c r="J147" s="455">
        <v>1</v>
      </c>
      <c r="K147" s="451">
        <v>1</v>
      </c>
      <c r="L147" s="433"/>
      <c r="N147" s="443"/>
      <c r="O147" s="444"/>
      <c r="P147" s="123"/>
    </row>
    <row r="148" spans="2:16" s="122" customFormat="1" ht="12.75">
      <c r="B148" s="449" t="s">
        <v>972</v>
      </c>
      <c r="C148" s="454">
        <f>+(G148*H88+J148*K88+K148*L88)/E148</f>
        <v>168.81</v>
      </c>
      <c r="D148" s="422" t="s">
        <v>673</v>
      </c>
      <c r="E148" s="451">
        <v>19</v>
      </c>
      <c r="F148" s="451"/>
      <c r="G148" s="451">
        <v>1</v>
      </c>
      <c r="H148" s="451"/>
      <c r="I148" s="451"/>
      <c r="J148" s="455">
        <v>1</v>
      </c>
      <c r="K148" s="451">
        <v>1</v>
      </c>
      <c r="L148" s="433"/>
      <c r="N148" s="443"/>
      <c r="O148" s="444"/>
      <c r="P148" s="123"/>
    </row>
    <row r="149" spans="2:16" s="122" customFormat="1" ht="12.75">
      <c r="B149" s="449" t="s">
        <v>973</v>
      </c>
      <c r="C149" s="454">
        <f>+(H149*H88+K149*K88)/E149</f>
        <v>80.19</v>
      </c>
      <c r="D149" s="422" t="s">
        <v>923</v>
      </c>
      <c r="E149" s="451">
        <v>30</v>
      </c>
      <c r="F149" s="451"/>
      <c r="G149" s="451"/>
      <c r="H149" s="451">
        <v>1</v>
      </c>
      <c r="I149" s="433"/>
      <c r="J149" s="451"/>
      <c r="K149" s="451">
        <v>1</v>
      </c>
      <c r="L149" s="433"/>
      <c r="N149" s="443">
        <v>44.81</v>
      </c>
      <c r="O149" s="444"/>
      <c r="P149" s="123"/>
    </row>
    <row r="150" spans="2:16" s="122" customFormat="1" ht="12.75">
      <c r="B150" s="449" t="s">
        <v>974</v>
      </c>
      <c r="C150" s="454">
        <f>+(G150*G88+J150*J88)/E150</f>
        <v>124.26</v>
      </c>
      <c r="D150" s="422" t="s">
        <v>673</v>
      </c>
      <c r="E150" s="451">
        <v>63.932</v>
      </c>
      <c r="F150" s="459"/>
      <c r="G150" s="451">
        <v>2</v>
      </c>
      <c r="H150" s="451"/>
      <c r="I150" s="451"/>
      <c r="J150" s="455">
        <v>4</v>
      </c>
      <c r="K150" s="451"/>
      <c r="L150" s="433"/>
      <c r="N150" s="443"/>
      <c r="O150" s="444"/>
      <c r="P150" s="123"/>
    </row>
    <row r="151" spans="2:16" s="122" customFormat="1" ht="12.75">
      <c r="B151" s="449" t="s">
        <v>975</v>
      </c>
      <c r="C151" s="454">
        <f>+(H151*H88+K151*K88)/E151</f>
        <v>320.77</v>
      </c>
      <c r="D151" s="422" t="s">
        <v>923</v>
      </c>
      <c r="E151" s="451">
        <v>7.5</v>
      </c>
      <c r="F151" s="451"/>
      <c r="G151" s="451"/>
      <c r="H151" s="451">
        <v>1</v>
      </c>
      <c r="I151" s="451"/>
      <c r="J151" s="455"/>
      <c r="K151" s="451">
        <v>1</v>
      </c>
      <c r="L151" s="433"/>
      <c r="N151" s="443"/>
      <c r="O151" s="444"/>
      <c r="P151" s="123"/>
    </row>
    <row r="152" spans="2:16" s="122" customFormat="1" ht="12.75">
      <c r="B152" s="449"/>
      <c r="C152" s="454"/>
      <c r="D152" s="422"/>
      <c r="E152" s="451"/>
      <c r="F152" s="451"/>
      <c r="G152" s="451"/>
      <c r="H152" s="451"/>
      <c r="I152" s="433"/>
      <c r="J152" s="451"/>
      <c r="K152" s="451"/>
      <c r="L152" s="433"/>
      <c r="N152" s="443"/>
      <c r="O152" s="444"/>
      <c r="P152" s="123"/>
    </row>
    <row r="153" spans="2:16" s="122" customFormat="1" ht="12.75">
      <c r="B153" s="448" t="s">
        <v>976</v>
      </c>
      <c r="C153" s="433"/>
      <c r="D153" s="434"/>
      <c r="E153" s="433"/>
      <c r="F153" s="433"/>
      <c r="G153" s="433"/>
      <c r="H153" s="433"/>
      <c r="I153" s="433"/>
      <c r="J153" s="433"/>
      <c r="K153" s="433"/>
      <c r="L153" s="433"/>
      <c r="N153" s="443"/>
      <c r="O153" s="444"/>
      <c r="P153" s="123"/>
    </row>
    <row r="154" spans="2:16" s="122" customFormat="1" ht="12.75">
      <c r="B154" s="449" t="s">
        <v>977</v>
      </c>
      <c r="C154" s="454">
        <f>+(G154*G88+K154*K88)/E154</f>
        <v>111.48</v>
      </c>
      <c r="D154" s="422" t="s">
        <v>673</v>
      </c>
      <c r="E154" s="451">
        <v>25</v>
      </c>
      <c r="F154" s="451"/>
      <c r="G154" s="451">
        <v>1</v>
      </c>
      <c r="H154" s="451"/>
      <c r="I154" s="433"/>
      <c r="J154" s="451"/>
      <c r="K154" s="451">
        <v>1</v>
      </c>
      <c r="L154" s="433"/>
      <c r="N154" s="443"/>
      <c r="O154" s="444"/>
      <c r="P154" s="123"/>
    </row>
    <row r="155" spans="2:16" s="122" customFormat="1" ht="12.75">
      <c r="B155" s="449" t="s">
        <v>978</v>
      </c>
      <c r="C155" s="454">
        <f>+(G155*G88+I155*I88+J155*J88+K155*K88)/E155</f>
        <v>396.69</v>
      </c>
      <c r="D155" s="422" t="s">
        <v>673</v>
      </c>
      <c r="E155" s="451">
        <v>13</v>
      </c>
      <c r="F155" s="451"/>
      <c r="G155" s="451">
        <v>1</v>
      </c>
      <c r="H155" s="451"/>
      <c r="I155" s="433">
        <v>1</v>
      </c>
      <c r="J155" s="451">
        <v>1</v>
      </c>
      <c r="K155" s="451">
        <v>1</v>
      </c>
      <c r="L155" s="433"/>
      <c r="N155" s="443"/>
      <c r="O155" s="444"/>
      <c r="P155" s="123"/>
    </row>
    <row r="156" spans="2:16" s="122" customFormat="1" ht="12.75">
      <c r="B156" s="449" t="s">
        <v>979</v>
      </c>
      <c r="C156" s="454">
        <f>+(H156*H88+J156*J88)/E156</f>
        <v>159.97</v>
      </c>
      <c r="D156" s="422" t="s">
        <v>673</v>
      </c>
      <c r="E156" s="451">
        <v>16</v>
      </c>
      <c r="F156" s="451"/>
      <c r="G156" s="451"/>
      <c r="H156" s="451">
        <v>1</v>
      </c>
      <c r="I156" s="433"/>
      <c r="J156" s="451">
        <v>1</v>
      </c>
      <c r="K156" s="451"/>
      <c r="L156" s="433"/>
      <c r="N156" s="443"/>
      <c r="O156" s="444"/>
      <c r="P156" s="123"/>
    </row>
    <row r="157" spans="2:16" s="122" customFormat="1" ht="12.75">
      <c r="B157" s="449" t="s">
        <v>980</v>
      </c>
      <c r="C157" s="454">
        <f>+(H157*H88+J157*J88)/E157</f>
        <v>98.44</v>
      </c>
      <c r="D157" s="422" t="s">
        <v>673</v>
      </c>
      <c r="E157" s="451">
        <v>26</v>
      </c>
      <c r="F157" s="451"/>
      <c r="G157" s="451"/>
      <c r="H157" s="451">
        <v>1</v>
      </c>
      <c r="I157" s="433"/>
      <c r="J157" s="451">
        <v>1</v>
      </c>
      <c r="K157" s="451"/>
      <c r="L157" s="433"/>
      <c r="N157" s="443"/>
      <c r="O157" s="444"/>
      <c r="P157" s="123"/>
    </row>
    <row r="158" spans="2:16" s="122" customFormat="1" ht="12.75">
      <c r="B158" s="449" t="s">
        <v>981</v>
      </c>
      <c r="C158" s="454">
        <f>+(H158*H88+J158*J88)/E158</f>
        <v>56.88</v>
      </c>
      <c r="D158" s="422" t="s">
        <v>923</v>
      </c>
      <c r="E158" s="451">
        <v>45</v>
      </c>
      <c r="F158" s="451"/>
      <c r="G158" s="451"/>
      <c r="H158" s="451">
        <v>1</v>
      </c>
      <c r="I158" s="433"/>
      <c r="J158" s="451">
        <v>1</v>
      </c>
      <c r="K158" s="451"/>
      <c r="L158" s="433"/>
      <c r="N158" s="443"/>
      <c r="O158" s="444"/>
      <c r="P158" s="123"/>
    </row>
    <row r="159" spans="2:16" s="122" customFormat="1" ht="12.75">
      <c r="B159" s="449" t="s">
        <v>982</v>
      </c>
      <c r="C159" s="454">
        <f>+(H159*H88+J159*J88)/E159</f>
        <v>85.32</v>
      </c>
      <c r="D159" s="422" t="s">
        <v>923</v>
      </c>
      <c r="E159" s="451">
        <v>30</v>
      </c>
      <c r="F159" s="451"/>
      <c r="G159" s="451"/>
      <c r="H159" s="451">
        <v>1</v>
      </c>
      <c r="I159" s="433"/>
      <c r="J159" s="451">
        <v>1</v>
      </c>
      <c r="K159" s="451"/>
      <c r="L159" s="433"/>
      <c r="N159" s="443"/>
      <c r="O159" s="444"/>
      <c r="P159" s="123"/>
    </row>
    <row r="160" spans="2:16" s="122" customFormat="1" ht="12.75">
      <c r="B160" s="449"/>
      <c r="C160" s="454"/>
      <c r="D160" s="422"/>
      <c r="E160" s="451"/>
      <c r="F160" s="451"/>
      <c r="G160" s="451"/>
      <c r="H160" s="451"/>
      <c r="I160" s="451"/>
      <c r="J160" s="451"/>
      <c r="K160" s="455"/>
      <c r="L160" s="451"/>
      <c r="N160" s="443"/>
      <c r="O160" s="444"/>
      <c r="P160" s="123"/>
    </row>
    <row r="161" spans="2:16" s="122" customFormat="1" ht="12.75">
      <c r="B161" s="449"/>
      <c r="C161" s="454"/>
      <c r="D161" s="422"/>
      <c r="E161" s="451"/>
      <c r="F161" s="451"/>
      <c r="G161" s="451"/>
      <c r="H161" s="451"/>
      <c r="I161" s="451"/>
      <c r="J161" s="451"/>
      <c r="K161" s="455"/>
      <c r="L161" s="451"/>
      <c r="N161" s="443"/>
      <c r="O161" s="444"/>
      <c r="P161" s="123"/>
    </row>
    <row r="162" spans="2:16" s="122" customFormat="1" ht="12.75">
      <c r="B162" s="449"/>
      <c r="C162" s="454"/>
      <c r="D162" s="422"/>
      <c r="E162" s="451"/>
      <c r="F162" s="451"/>
      <c r="G162" s="451"/>
      <c r="H162" s="451"/>
      <c r="I162" s="451"/>
      <c r="J162" s="451"/>
      <c r="K162" s="455"/>
      <c r="L162" s="451"/>
      <c r="N162" s="443"/>
      <c r="O162" s="444"/>
      <c r="P162" s="123"/>
    </row>
    <row r="163" spans="2:16" s="122" customFormat="1" ht="12.75">
      <c r="B163" s="458" t="s">
        <v>983</v>
      </c>
      <c r="C163" s="460"/>
      <c r="D163" s="461"/>
      <c r="E163" s="462"/>
      <c r="F163" s="460"/>
      <c r="G163" s="459"/>
      <c r="H163" s="459"/>
      <c r="I163" s="459"/>
      <c r="J163" s="459"/>
      <c r="K163" s="459"/>
      <c r="L163" s="459"/>
      <c r="M163" s="463"/>
      <c r="N163" s="432"/>
      <c r="O163" s="444"/>
      <c r="P163" s="123"/>
    </row>
    <row r="164" spans="2:16" s="122" customFormat="1" ht="13.5" customHeight="1">
      <c r="B164" s="449" t="s">
        <v>984</v>
      </c>
      <c r="C164" s="422">
        <f>+(F164*F88+G164*G88+H164*H88+I164*I88+J164*J88+K164*K88+L164*L88)/E164</f>
        <v>687.05</v>
      </c>
      <c r="D164" s="450" t="s">
        <v>307</v>
      </c>
      <c r="E164" s="451">
        <v>7.7825</v>
      </c>
      <c r="F164" s="451">
        <v>1</v>
      </c>
      <c r="G164" s="451"/>
      <c r="H164" s="451"/>
      <c r="I164" s="451"/>
      <c r="J164" s="451">
        <v>2</v>
      </c>
      <c r="K164" s="455">
        <v>1</v>
      </c>
      <c r="L164" s="455"/>
      <c r="M164" s="443"/>
      <c r="O164" s="444"/>
      <c r="P164" s="123"/>
    </row>
    <row r="165" spans="2:16" s="122" customFormat="1" ht="13.5" customHeight="1">
      <c r="B165" s="449" t="s">
        <v>985</v>
      </c>
      <c r="C165" s="422">
        <f>+(F165*F88+G165*G88+H165*H88+I165*I88+J165*J88+K165*K88+L165*L88)/E165</f>
        <v>152.34</v>
      </c>
      <c r="D165" s="450" t="s">
        <v>923</v>
      </c>
      <c r="E165" s="451">
        <v>28.3301</v>
      </c>
      <c r="F165" s="451">
        <v>1</v>
      </c>
      <c r="G165" s="451"/>
      <c r="H165" s="451"/>
      <c r="I165" s="451"/>
      <c r="J165" s="451">
        <v>1</v>
      </c>
      <c r="K165" s="455">
        <v>1</v>
      </c>
      <c r="L165" s="455"/>
      <c r="M165" s="443"/>
      <c r="O165" s="444"/>
      <c r="P165" s="123"/>
    </row>
    <row r="166" spans="2:16" s="122" customFormat="1" ht="13.5" customHeight="1">
      <c r="B166" s="449" t="s">
        <v>986</v>
      </c>
      <c r="C166" s="422">
        <f>+(F166*F88+G166*G88+H166*H88+I166*I88+J166*J88+K166*K88+L166*L88)/E166</f>
        <v>228.3</v>
      </c>
      <c r="D166" s="450" t="s">
        <v>923</v>
      </c>
      <c r="E166" s="451">
        <v>18.9036</v>
      </c>
      <c r="F166" s="451">
        <v>1</v>
      </c>
      <c r="G166" s="451"/>
      <c r="H166" s="451"/>
      <c r="I166" s="451"/>
      <c r="J166" s="451">
        <v>1</v>
      </c>
      <c r="K166" s="455">
        <v>1</v>
      </c>
      <c r="L166" s="455"/>
      <c r="M166" s="443"/>
      <c r="O166" s="444"/>
      <c r="P166" s="123"/>
    </row>
    <row r="167" spans="2:16" s="122" customFormat="1" ht="13.5" customHeight="1">
      <c r="B167" s="449" t="s">
        <v>987</v>
      </c>
      <c r="C167" s="422">
        <f>+(F167*F88+G167*G88+H167*H88+I167*I88+J167*J88+K167*K88+L167*L88)/E167</f>
        <v>152.34</v>
      </c>
      <c r="D167" s="450" t="s">
        <v>923</v>
      </c>
      <c r="E167" s="451">
        <v>28.3301</v>
      </c>
      <c r="F167" s="451">
        <v>1</v>
      </c>
      <c r="G167" s="451"/>
      <c r="H167" s="451"/>
      <c r="I167" s="451"/>
      <c r="J167" s="451">
        <v>1</v>
      </c>
      <c r="K167" s="455">
        <v>1</v>
      </c>
      <c r="L167" s="455"/>
      <c r="M167" s="443"/>
      <c r="O167" s="444"/>
      <c r="P167" s="123"/>
    </row>
    <row r="168" spans="2:16" s="122" customFormat="1" ht="13.5" customHeight="1">
      <c r="B168" s="449" t="s">
        <v>988</v>
      </c>
      <c r="C168" s="422"/>
      <c r="D168" s="450"/>
      <c r="E168" s="451"/>
      <c r="F168" s="451"/>
      <c r="G168" s="451"/>
      <c r="H168" s="451"/>
      <c r="I168" s="451"/>
      <c r="J168" s="451"/>
      <c r="K168" s="455"/>
      <c r="L168" s="455"/>
      <c r="M168" s="443"/>
      <c r="O168" s="444"/>
      <c r="P168" s="123"/>
    </row>
    <row r="169" spans="2:16" s="122" customFormat="1" ht="13.5" customHeight="1">
      <c r="B169" s="449" t="s">
        <v>989</v>
      </c>
      <c r="C169" s="422">
        <f>+(F169*F88+G169*G88+H169*H88+I169*I88+J169*J88+K169*K88+L169*L88)/E169</f>
        <v>685.57</v>
      </c>
      <c r="D169" s="450" t="s">
        <v>307</v>
      </c>
      <c r="E169" s="451">
        <v>7.7993</v>
      </c>
      <c r="F169" s="451">
        <v>1</v>
      </c>
      <c r="G169" s="451"/>
      <c r="H169" s="451"/>
      <c r="I169" s="451"/>
      <c r="J169" s="451">
        <v>2</v>
      </c>
      <c r="K169" s="455">
        <v>1</v>
      </c>
      <c r="L169" s="455"/>
      <c r="M169" s="443"/>
      <c r="O169" s="444"/>
      <c r="P169" s="123"/>
    </row>
    <row r="170" spans="2:16" s="122" customFormat="1" ht="13.5" customHeight="1">
      <c r="B170" s="449" t="s">
        <v>990</v>
      </c>
      <c r="C170" s="422">
        <f>+(F170*F88+G170*G88+H170*H88+I170*I88+J170*J88+K170*K88+L170*L88)/E170</f>
        <v>687.05</v>
      </c>
      <c r="D170" s="450" t="s">
        <v>307</v>
      </c>
      <c r="E170" s="451">
        <v>6.2815</v>
      </c>
      <c r="F170" s="451">
        <v>1</v>
      </c>
      <c r="G170" s="451"/>
      <c r="H170" s="451"/>
      <c r="I170" s="451"/>
      <c r="J170" s="451">
        <v>1</v>
      </c>
      <c r="K170" s="455">
        <v>1</v>
      </c>
      <c r="L170" s="455"/>
      <c r="M170" s="443"/>
      <c r="O170" s="444"/>
      <c r="P170" s="123"/>
    </row>
    <row r="171" spans="2:16" s="122" customFormat="1" ht="13.5" customHeight="1">
      <c r="B171" s="449" t="s">
        <v>991</v>
      </c>
      <c r="C171" s="422">
        <f>+(F171*F88+G171*G88+H171*H88+I171*I88+J171*J88+K171*K88+L171*L88)/E171</f>
        <v>457.04</v>
      </c>
      <c r="D171" s="450" t="s">
        <v>307</v>
      </c>
      <c r="E171" s="451">
        <v>9.4426</v>
      </c>
      <c r="F171" s="451">
        <v>1</v>
      </c>
      <c r="G171" s="451"/>
      <c r="H171" s="451"/>
      <c r="I171" s="451"/>
      <c r="J171" s="451">
        <v>1</v>
      </c>
      <c r="K171" s="455">
        <v>1</v>
      </c>
      <c r="L171" s="455"/>
      <c r="M171" s="443"/>
      <c r="O171" s="444"/>
      <c r="P171" s="123"/>
    </row>
    <row r="172" spans="2:16" s="122" customFormat="1" ht="13.5" customHeight="1">
      <c r="B172" s="449" t="s">
        <v>992</v>
      </c>
      <c r="C172" s="422">
        <f>+(F172*F88+G172*G88+H172*H88+I172*I88+J172*J88+K172*K88+L172*L88)/E172</f>
        <v>4005.82</v>
      </c>
      <c r="D172" s="450" t="s">
        <v>993</v>
      </c>
      <c r="E172" s="451">
        <v>1.3348</v>
      </c>
      <c r="F172" s="451">
        <v>1</v>
      </c>
      <c r="G172" s="451"/>
      <c r="H172" s="451"/>
      <c r="I172" s="451"/>
      <c r="J172" s="451">
        <v>2</v>
      </c>
      <c r="K172" s="455">
        <v>1</v>
      </c>
      <c r="L172" s="455"/>
      <c r="M172" s="443"/>
      <c r="O172" s="444"/>
      <c r="P172" s="123"/>
    </row>
    <row r="173" spans="2:16" s="122" customFormat="1" ht="13.5" customHeight="1">
      <c r="B173" s="449" t="s">
        <v>994</v>
      </c>
      <c r="C173" s="422">
        <f>+(F173*F88+G173*G88+H173*H88+I173*I88+J173*J88+K173*K88+L173*L88)/E173</f>
        <v>152.34</v>
      </c>
      <c r="D173" s="450" t="s">
        <v>923</v>
      </c>
      <c r="E173" s="451">
        <v>35.0997</v>
      </c>
      <c r="F173" s="451">
        <v>1</v>
      </c>
      <c r="G173" s="451"/>
      <c r="H173" s="451"/>
      <c r="I173" s="451"/>
      <c r="J173" s="451">
        <v>2</v>
      </c>
      <c r="K173" s="455">
        <v>1</v>
      </c>
      <c r="L173" s="455"/>
      <c r="M173" s="443"/>
      <c r="O173" s="444"/>
      <c r="P173" s="123"/>
    </row>
    <row r="174" spans="2:16" s="122" customFormat="1" ht="13.5" customHeight="1">
      <c r="B174" s="449" t="s">
        <v>995</v>
      </c>
      <c r="C174" s="422">
        <f>+(F174*F88+G174*G88+H174*H88+I174*I88+J174*J88+K174*K88+L174*L88)/E174</f>
        <v>725.93</v>
      </c>
      <c r="D174" s="450" t="s">
        <v>307</v>
      </c>
      <c r="E174" s="451">
        <v>7.3657</v>
      </c>
      <c r="F174" s="451">
        <v>1</v>
      </c>
      <c r="G174" s="451"/>
      <c r="H174" s="451"/>
      <c r="I174" s="451"/>
      <c r="J174" s="451">
        <v>2</v>
      </c>
      <c r="K174" s="455">
        <v>1</v>
      </c>
      <c r="L174" s="455"/>
      <c r="M174" s="443"/>
      <c r="N174" s="122">
        <f>426.75*1.4</f>
        <v>597.45</v>
      </c>
      <c r="O174" s="444"/>
      <c r="P174" s="123"/>
    </row>
    <row r="175" spans="2:16" s="122" customFormat="1" ht="13.5" customHeight="1">
      <c r="B175" s="449" t="s">
        <v>996</v>
      </c>
      <c r="C175" s="422">
        <f>+(F175*F88+G175*G88+H175*H88+I175*I88+J175*J88+K175*K88+L175*L88)/E175</f>
        <v>152.34</v>
      </c>
      <c r="D175" s="450" t="s">
        <v>923</v>
      </c>
      <c r="E175" s="451">
        <v>28.3301</v>
      </c>
      <c r="F175" s="451">
        <v>1</v>
      </c>
      <c r="G175" s="451"/>
      <c r="H175" s="451"/>
      <c r="I175" s="451"/>
      <c r="J175" s="451">
        <v>1</v>
      </c>
      <c r="K175" s="455">
        <v>1</v>
      </c>
      <c r="L175" s="455"/>
      <c r="M175" s="443"/>
      <c r="O175" s="444"/>
      <c r="P175" s="123"/>
    </row>
    <row r="176" spans="2:16" s="122" customFormat="1" ht="13.5" customHeight="1">
      <c r="B176" s="449" t="s">
        <v>997</v>
      </c>
      <c r="C176" s="422">
        <f>+(F176*F88+G176*G88+H176*H88+I176*I88+J176*J88+K176*K88+L176*L88)/E176</f>
        <v>45.81</v>
      </c>
      <c r="D176" s="450" t="s">
        <v>307</v>
      </c>
      <c r="E176" s="451">
        <v>70</v>
      </c>
      <c r="F176" s="451"/>
      <c r="G176" s="451"/>
      <c r="H176" s="451"/>
      <c r="I176" s="451"/>
      <c r="J176" s="451"/>
      <c r="K176" s="455"/>
      <c r="L176" s="455">
        <v>4</v>
      </c>
      <c r="M176" s="443"/>
      <c r="O176" s="444"/>
      <c r="P176" s="123"/>
    </row>
    <row r="177" spans="2:16" s="122" customFormat="1" ht="13.5" customHeight="1">
      <c r="B177" s="449" t="s">
        <v>998</v>
      </c>
      <c r="C177" s="422">
        <f>+(F177*F88+G177*G88+H177*H88+I177*I88+J177*J88+K177*K88+L177*L88)/E177</f>
        <v>68.72</v>
      </c>
      <c r="D177" s="450" t="s">
        <v>307</v>
      </c>
      <c r="E177" s="451">
        <v>46.667</v>
      </c>
      <c r="F177" s="451"/>
      <c r="G177" s="451"/>
      <c r="H177" s="451"/>
      <c r="I177" s="451"/>
      <c r="J177" s="451"/>
      <c r="K177" s="455"/>
      <c r="L177" s="455">
        <v>4</v>
      </c>
      <c r="M177" s="443"/>
      <c r="O177" s="444"/>
      <c r="P177" s="123"/>
    </row>
    <row r="178" spans="2:12" s="122" customFormat="1" ht="12.75">
      <c r="B178" s="433"/>
      <c r="C178" s="433"/>
      <c r="D178" s="450"/>
      <c r="E178" s="433"/>
      <c r="F178" s="433"/>
      <c r="G178" s="433"/>
      <c r="H178" s="433"/>
      <c r="I178" s="433"/>
      <c r="J178" s="433"/>
      <c r="K178" s="433"/>
      <c r="L178" s="433"/>
    </row>
    <row r="179" spans="2:12" s="122" customFormat="1" ht="12.75">
      <c r="B179" s="464" t="s">
        <v>999</v>
      </c>
      <c r="C179" s="433"/>
      <c r="D179" s="450"/>
      <c r="E179" s="433"/>
      <c r="F179" s="433"/>
      <c r="G179" s="433"/>
      <c r="H179" s="433"/>
      <c r="I179" s="433"/>
      <c r="J179" s="433"/>
      <c r="K179" s="433"/>
      <c r="L179" s="433"/>
    </row>
    <row r="180" spans="2:12" s="122" customFormat="1" ht="16.5" customHeight="1">
      <c r="B180" s="433" t="s">
        <v>294</v>
      </c>
      <c r="C180" s="465">
        <v>100</v>
      </c>
      <c r="D180" s="450" t="s">
        <v>402</v>
      </c>
      <c r="E180" s="451"/>
      <c r="F180" s="451"/>
      <c r="G180" s="451"/>
      <c r="H180" s="451"/>
      <c r="I180" s="451"/>
      <c r="J180" s="451"/>
      <c r="K180" s="455"/>
      <c r="L180" s="455"/>
    </row>
    <row r="181" spans="1:8" s="375" customFormat="1" ht="16.5" customHeight="1">
      <c r="A181" s="466"/>
      <c r="B181" s="375" t="s">
        <v>1000</v>
      </c>
      <c r="C181" s="467">
        <f>500*1.18</f>
        <v>590</v>
      </c>
      <c r="D181" s="338" t="s">
        <v>402</v>
      </c>
      <c r="E181" s="466"/>
      <c r="G181" s="399"/>
      <c r="H181" s="399"/>
    </row>
    <row r="182" spans="1:17" s="375" customFormat="1" ht="16.5" customHeight="1">
      <c r="A182" s="466"/>
      <c r="B182" s="375" t="s">
        <v>1001</v>
      </c>
      <c r="C182" s="466">
        <f>120*1.18</f>
        <v>141.6</v>
      </c>
      <c r="D182" s="338" t="s">
        <v>402</v>
      </c>
      <c r="E182" s="466"/>
      <c r="G182" s="399"/>
      <c r="H182" s="399"/>
      <c r="Q182" s="375">
        <f>7/1.2+1</f>
        <v>6.83333333333333</v>
      </c>
    </row>
    <row r="183" spans="1:17" s="375" customFormat="1" ht="16.5" customHeight="1">
      <c r="A183" s="466"/>
      <c r="B183" s="375" t="s">
        <v>1002</v>
      </c>
      <c r="C183" s="466"/>
      <c r="D183" s="338" t="s">
        <v>402</v>
      </c>
      <c r="E183" s="466"/>
      <c r="G183" s="399"/>
      <c r="H183" s="399"/>
      <c r="Q183" s="375">
        <f>7/1.2+1</f>
        <v>6.83333333333333</v>
      </c>
    </row>
    <row r="184" spans="1:8" s="375" customFormat="1" ht="16.5" customHeight="1">
      <c r="A184" s="466"/>
      <c r="B184" s="375" t="s">
        <v>1003</v>
      </c>
      <c r="C184" s="468">
        <f>+T238</f>
        <v>0</v>
      </c>
      <c r="D184" s="338" t="s">
        <v>402</v>
      </c>
      <c r="G184" s="399"/>
      <c r="H184" s="399"/>
    </row>
    <row r="185" spans="2:8" s="375" customFormat="1" ht="12.75">
      <c r="B185" s="375" t="s">
        <v>1004</v>
      </c>
      <c r="C185" s="469">
        <v>0.1</v>
      </c>
      <c r="G185" s="399"/>
      <c r="H185" s="399"/>
    </row>
    <row r="186" spans="2:12" s="375" customFormat="1" ht="12.75">
      <c r="B186" s="470" t="s">
        <v>1005</v>
      </c>
      <c r="C186" s="422">
        <f>+(H186*H88+J186*J88)/E186</f>
        <v>112.34</v>
      </c>
      <c r="D186" s="471" t="s">
        <v>167</v>
      </c>
      <c r="E186" s="470">
        <v>63.93</v>
      </c>
      <c r="F186" s="470"/>
      <c r="G186" s="472"/>
      <c r="H186" s="472">
        <v>2</v>
      </c>
      <c r="I186" s="470"/>
      <c r="J186" s="470">
        <v>4</v>
      </c>
      <c r="K186" s="470"/>
      <c r="L186" s="470"/>
    </row>
    <row r="187" spans="2:12" s="375" customFormat="1" ht="12.75">
      <c r="B187" s="319"/>
      <c r="C187" s="473"/>
      <c r="D187" s="330"/>
      <c r="E187" s="319"/>
      <c r="F187" s="319"/>
      <c r="G187" s="474"/>
      <c r="H187" s="474"/>
      <c r="I187" s="319"/>
      <c r="J187" s="319"/>
      <c r="K187" s="319"/>
      <c r="L187" s="319"/>
    </row>
    <row r="188" spans="2:12" s="375" customFormat="1" ht="12.75">
      <c r="B188" s="475" t="s">
        <v>1006</v>
      </c>
      <c r="C188" s="476"/>
      <c r="D188" s="476"/>
      <c r="E188" s="436"/>
      <c r="F188" s="476"/>
      <c r="G188" s="477"/>
      <c r="H188" s="477"/>
      <c r="I188" s="477"/>
      <c r="J188" s="477"/>
      <c r="K188" s="477"/>
      <c r="L188" s="477"/>
    </row>
    <row r="189" spans="2:12" s="375" customFormat="1" ht="12.75">
      <c r="B189" s="478" t="s">
        <v>1007</v>
      </c>
      <c r="C189" s="457">
        <f>+(F189*F88+J189*J88)/E189</f>
        <v>40.75</v>
      </c>
      <c r="D189" s="479" t="s">
        <v>673</v>
      </c>
      <c r="E189" s="480">
        <v>84.375</v>
      </c>
      <c r="F189" s="481">
        <v>1</v>
      </c>
      <c r="G189" s="481"/>
      <c r="H189" s="481"/>
      <c r="I189" s="481"/>
      <c r="J189" s="481">
        <v>1</v>
      </c>
      <c r="K189" s="481"/>
      <c r="L189" s="481"/>
    </row>
    <row r="190" spans="2:11" s="375" customFormat="1" ht="12.75">
      <c r="B190" s="478" t="s">
        <v>1008</v>
      </c>
      <c r="C190" s="508">
        <f>+(F190*$F$88+J190*$J$88)/E190</f>
        <v>40.75</v>
      </c>
      <c r="D190" s="479" t="s">
        <v>673</v>
      </c>
      <c r="E190" s="480">
        <v>84.375</v>
      </c>
      <c r="F190" s="481">
        <v>1</v>
      </c>
      <c r="G190" s="481"/>
      <c r="H190" s="481"/>
      <c r="I190" s="481"/>
      <c r="J190" s="481">
        <v>1</v>
      </c>
      <c r="K190" s="481"/>
    </row>
    <row r="191" spans="2:11" s="375" customFormat="1" ht="12.75">
      <c r="B191" s="478" t="s">
        <v>1009</v>
      </c>
      <c r="C191" s="508">
        <f>+(F191*$F$88+J191*$J$88)/E191</f>
        <v>22.92</v>
      </c>
      <c r="D191" s="479" t="s">
        <v>673</v>
      </c>
      <c r="E191" s="480">
        <v>150</v>
      </c>
      <c r="F191" s="481">
        <v>1</v>
      </c>
      <c r="G191" s="481"/>
      <c r="H191" s="481"/>
      <c r="I191" s="481"/>
      <c r="J191" s="481">
        <v>1</v>
      </c>
      <c r="K191" s="481"/>
    </row>
    <row r="192" spans="2:11" s="375" customFormat="1" ht="12.75">
      <c r="B192" s="478" t="s">
        <v>1010</v>
      </c>
      <c r="C192" s="508">
        <f aca="true" t="shared" si="4" ref="C192:C209">+(F192*$F$88+J192*$J$88)/E192</f>
        <v>15.28</v>
      </c>
      <c r="D192" s="479" t="s">
        <v>673</v>
      </c>
      <c r="E192" s="480">
        <v>225</v>
      </c>
      <c r="F192" s="481">
        <v>1</v>
      </c>
      <c r="G192" s="481"/>
      <c r="H192" s="481"/>
      <c r="I192" s="481"/>
      <c r="J192" s="481">
        <v>1</v>
      </c>
      <c r="K192" s="481"/>
    </row>
    <row r="193" spans="2:11" s="375" customFormat="1" ht="12.75">
      <c r="B193" s="482" t="s">
        <v>1011</v>
      </c>
      <c r="C193" s="508">
        <f t="shared" si="4"/>
        <v>50.94</v>
      </c>
      <c r="D193" s="479" t="s">
        <v>923</v>
      </c>
      <c r="E193" s="480">
        <v>67.5</v>
      </c>
      <c r="F193" s="481">
        <v>1</v>
      </c>
      <c r="G193" s="481"/>
      <c r="H193" s="481"/>
      <c r="I193" s="481"/>
      <c r="J193" s="481">
        <v>1</v>
      </c>
      <c r="K193" s="481"/>
    </row>
    <row r="194" spans="2:11" s="375" customFormat="1" ht="12.75">
      <c r="B194" s="478" t="s">
        <v>1012</v>
      </c>
      <c r="C194" s="508">
        <f t="shared" si="4"/>
        <v>38.2</v>
      </c>
      <c r="D194" s="479" t="s">
        <v>673</v>
      </c>
      <c r="E194" s="480">
        <v>90</v>
      </c>
      <c r="F194" s="481">
        <v>1</v>
      </c>
      <c r="G194" s="481"/>
      <c r="H194" s="481"/>
      <c r="I194" s="481"/>
      <c r="J194" s="481">
        <v>1</v>
      </c>
      <c r="K194" s="481"/>
    </row>
    <row r="195" spans="2:11" s="375" customFormat="1" ht="12.75">
      <c r="B195" s="478" t="s">
        <v>1013</v>
      </c>
      <c r="C195" s="508">
        <f t="shared" si="4"/>
        <v>25.47</v>
      </c>
      <c r="D195" s="479" t="s">
        <v>673</v>
      </c>
      <c r="E195" s="480">
        <v>135</v>
      </c>
      <c r="F195" s="481">
        <v>1</v>
      </c>
      <c r="G195" s="481"/>
      <c r="H195" s="481"/>
      <c r="I195" s="481"/>
      <c r="J195" s="481">
        <v>1</v>
      </c>
      <c r="K195" s="481"/>
    </row>
    <row r="196" spans="2:11" s="375" customFormat="1" ht="12.75">
      <c r="B196" s="478" t="s">
        <v>1014</v>
      </c>
      <c r="C196" s="508">
        <f t="shared" si="4"/>
        <v>63.67</v>
      </c>
      <c r="D196" s="479" t="s">
        <v>673</v>
      </c>
      <c r="E196" s="480">
        <v>54</v>
      </c>
      <c r="F196" s="481">
        <v>1</v>
      </c>
      <c r="G196" s="481"/>
      <c r="H196" s="481"/>
      <c r="I196" s="481"/>
      <c r="J196" s="481">
        <v>1</v>
      </c>
      <c r="K196" s="481"/>
    </row>
    <row r="197" spans="2:11" s="375" customFormat="1" ht="12.75">
      <c r="B197" s="478" t="s">
        <v>1015</v>
      </c>
      <c r="C197" s="508">
        <f t="shared" si="4"/>
        <v>63.67</v>
      </c>
      <c r="D197" s="479" t="s">
        <v>673</v>
      </c>
      <c r="E197" s="480">
        <v>54</v>
      </c>
      <c r="F197" s="481">
        <v>1</v>
      </c>
      <c r="G197" s="481"/>
      <c r="H197" s="481"/>
      <c r="I197" s="481"/>
      <c r="J197" s="481">
        <v>1</v>
      </c>
      <c r="K197" s="481"/>
    </row>
    <row r="198" spans="2:11" s="375" customFormat="1" ht="12.75">
      <c r="B198" s="478" t="s">
        <v>1016</v>
      </c>
      <c r="C198" s="508">
        <f t="shared" si="4"/>
        <v>53.48</v>
      </c>
      <c r="D198" s="479" t="s">
        <v>673</v>
      </c>
      <c r="E198" s="480">
        <v>64.286</v>
      </c>
      <c r="F198" s="481">
        <v>1</v>
      </c>
      <c r="G198" s="481"/>
      <c r="H198" s="481"/>
      <c r="I198" s="481"/>
      <c r="J198" s="481">
        <v>1</v>
      </c>
      <c r="K198" s="481"/>
    </row>
    <row r="199" spans="2:11" s="375" customFormat="1" ht="12.75">
      <c r="B199" s="478" t="s">
        <v>1017</v>
      </c>
      <c r="C199" s="508">
        <f t="shared" si="4"/>
        <v>117.15</v>
      </c>
      <c r="D199" s="479" t="s">
        <v>673</v>
      </c>
      <c r="E199" s="480">
        <v>29.348</v>
      </c>
      <c r="F199" s="481">
        <v>1</v>
      </c>
      <c r="G199" s="481"/>
      <c r="H199" s="481"/>
      <c r="I199" s="481"/>
      <c r="J199" s="481">
        <v>1</v>
      </c>
      <c r="K199" s="481"/>
    </row>
    <row r="200" spans="2:11" s="375" customFormat="1" ht="12.75">
      <c r="B200" s="478" t="s">
        <v>1018</v>
      </c>
      <c r="C200" s="508">
        <f t="shared" si="4"/>
        <v>43.3</v>
      </c>
      <c r="D200" s="479" t="s">
        <v>673</v>
      </c>
      <c r="E200" s="480">
        <v>79.41</v>
      </c>
      <c r="F200" s="481">
        <v>1</v>
      </c>
      <c r="G200" s="481"/>
      <c r="H200" s="481"/>
      <c r="I200" s="481"/>
      <c r="J200" s="481">
        <v>1</v>
      </c>
      <c r="K200" s="481"/>
    </row>
    <row r="201" spans="2:11" s="375" customFormat="1" ht="12.75">
      <c r="B201" s="478" t="s">
        <v>1019</v>
      </c>
      <c r="C201" s="508">
        <f t="shared" si="4"/>
        <v>25.47</v>
      </c>
      <c r="D201" s="479" t="s">
        <v>673</v>
      </c>
      <c r="E201" s="480">
        <v>135</v>
      </c>
      <c r="F201" s="481">
        <v>1</v>
      </c>
      <c r="G201" s="481"/>
      <c r="H201" s="481"/>
      <c r="I201" s="481"/>
      <c r="J201" s="481">
        <v>1</v>
      </c>
      <c r="K201" s="481"/>
    </row>
    <row r="202" spans="2:11" s="375" customFormat="1" ht="12.75">
      <c r="B202" s="478" t="s">
        <v>1020</v>
      </c>
      <c r="C202" s="508">
        <f t="shared" si="4"/>
        <v>40.75</v>
      </c>
      <c r="D202" s="479" t="s">
        <v>673</v>
      </c>
      <c r="E202" s="480">
        <v>84.375</v>
      </c>
      <c r="F202" s="481">
        <v>1</v>
      </c>
      <c r="G202" s="481"/>
      <c r="H202" s="481"/>
      <c r="I202" s="481"/>
      <c r="J202" s="481">
        <v>1</v>
      </c>
      <c r="K202" s="481"/>
    </row>
    <row r="203" spans="2:11" s="375" customFormat="1" ht="12.75">
      <c r="B203" s="478" t="s">
        <v>1021</v>
      </c>
      <c r="C203" s="508">
        <f t="shared" si="4"/>
        <v>38.2</v>
      </c>
      <c r="D203" s="479" t="s">
        <v>673</v>
      </c>
      <c r="E203" s="480">
        <v>90</v>
      </c>
      <c r="F203" s="481">
        <v>1</v>
      </c>
      <c r="G203" s="481"/>
      <c r="H203" s="481"/>
      <c r="I203" s="481"/>
      <c r="J203" s="481">
        <v>1</v>
      </c>
      <c r="K203" s="481"/>
    </row>
    <row r="204" spans="2:11" s="375" customFormat="1" ht="12.75">
      <c r="B204" s="478" t="s">
        <v>1022</v>
      </c>
      <c r="C204" s="508">
        <f t="shared" si="4"/>
        <v>78.95</v>
      </c>
      <c r="D204" s="479" t="s">
        <v>673</v>
      </c>
      <c r="E204" s="480">
        <v>43.548</v>
      </c>
      <c r="F204" s="481">
        <v>1</v>
      </c>
      <c r="G204" s="481"/>
      <c r="H204" s="481"/>
      <c r="I204" s="481"/>
      <c r="J204" s="481">
        <v>1</v>
      </c>
      <c r="K204" s="481"/>
    </row>
    <row r="205" spans="2:11" s="375" customFormat="1" ht="12.75">
      <c r="B205" s="478" t="s">
        <v>1023</v>
      </c>
      <c r="C205" s="508">
        <f t="shared" si="4"/>
        <v>30.56</v>
      </c>
      <c r="D205" s="479" t="s">
        <v>673</v>
      </c>
      <c r="E205" s="457">
        <v>112.5</v>
      </c>
      <c r="F205" s="481">
        <v>1</v>
      </c>
      <c r="G205" s="481"/>
      <c r="H205" s="481"/>
      <c r="I205" s="481"/>
      <c r="J205" s="481">
        <v>1</v>
      </c>
      <c r="K205" s="481"/>
    </row>
    <row r="206" spans="2:11" s="375" customFormat="1" ht="12.75">
      <c r="B206" s="478" t="s">
        <v>1024</v>
      </c>
      <c r="C206" s="508">
        <f t="shared" si="4"/>
        <v>22.92</v>
      </c>
      <c r="D206" s="479" t="s">
        <v>673</v>
      </c>
      <c r="E206" s="480">
        <v>150</v>
      </c>
      <c r="F206" s="481">
        <v>1</v>
      </c>
      <c r="G206" s="481"/>
      <c r="H206" s="481"/>
      <c r="I206" s="481"/>
      <c r="J206" s="481">
        <v>1</v>
      </c>
      <c r="K206" s="481"/>
    </row>
    <row r="207" spans="2:11" s="375" customFormat="1" ht="12.75">
      <c r="B207" s="478" t="s">
        <v>1025</v>
      </c>
      <c r="C207" s="508">
        <f t="shared" si="4"/>
        <v>12.89</v>
      </c>
      <c r="D207" s="479" t="s">
        <v>673</v>
      </c>
      <c r="E207" s="480">
        <v>80</v>
      </c>
      <c r="F207" s="481"/>
      <c r="G207" s="481"/>
      <c r="H207" s="481"/>
      <c r="I207" s="481"/>
      <c r="J207" s="481">
        <v>1</v>
      </c>
      <c r="K207" s="481"/>
    </row>
    <row r="208" spans="2:11" s="375" customFormat="1" ht="12.75">
      <c r="B208" s="482" t="s">
        <v>1026</v>
      </c>
      <c r="C208" s="508">
        <f t="shared" si="4"/>
        <v>51.56</v>
      </c>
      <c r="D208" s="479" t="s">
        <v>673</v>
      </c>
      <c r="E208" s="480">
        <v>20</v>
      </c>
      <c r="F208" s="481"/>
      <c r="G208" s="481"/>
      <c r="H208" s="481"/>
      <c r="I208" s="481"/>
      <c r="J208" s="481">
        <v>1</v>
      </c>
      <c r="K208" s="481"/>
    </row>
    <row r="209" spans="2:11" s="375" customFormat="1" ht="12.75">
      <c r="B209" s="482" t="s">
        <v>1027</v>
      </c>
      <c r="C209" s="508">
        <f t="shared" si="4"/>
        <v>43.3</v>
      </c>
      <c r="D209" s="479" t="s">
        <v>923</v>
      </c>
      <c r="E209" s="480">
        <v>79.41</v>
      </c>
      <c r="F209" s="481">
        <v>1</v>
      </c>
      <c r="G209" s="481"/>
      <c r="H209" s="481"/>
      <c r="I209" s="481"/>
      <c r="J209" s="481">
        <v>1</v>
      </c>
      <c r="K209" s="319"/>
    </row>
    <row r="210" spans="2:5" s="375" customFormat="1" ht="12.75">
      <c r="B210" s="319"/>
      <c r="C210" s="473"/>
      <c r="D210" s="330"/>
      <c r="E210" s="319"/>
    </row>
    <row r="211" spans="2:5" s="375" customFormat="1" ht="12.75">
      <c r="B211" s="319" t="s">
        <v>1041</v>
      </c>
      <c r="C211" s="473"/>
      <c r="D211" s="330"/>
      <c r="E211" s="319"/>
    </row>
    <row r="212" spans="2:10" s="375" customFormat="1" ht="12.75">
      <c r="B212" s="319" t="s">
        <v>1042</v>
      </c>
      <c r="C212" s="513">
        <f>+(1719.25+736.63)/E212</f>
        <v>294.82</v>
      </c>
      <c r="D212" s="330" t="s">
        <v>92</v>
      </c>
      <c r="E212" s="319">
        <v>8.33</v>
      </c>
      <c r="F212" s="375">
        <v>1</v>
      </c>
      <c r="J212" s="375">
        <v>1</v>
      </c>
    </row>
    <row r="213" spans="2:5" s="375" customFormat="1" ht="12.75">
      <c r="B213" s="319"/>
      <c r="C213" s="473"/>
      <c r="D213" s="330"/>
      <c r="E213" s="319"/>
    </row>
    <row r="214" spans="2:5" s="375" customFormat="1" ht="12.75">
      <c r="B214" s="319"/>
      <c r="C214" s="473"/>
      <c r="D214" s="330"/>
      <c r="E214" s="319"/>
    </row>
    <row r="215" spans="2:5" s="375" customFormat="1" ht="12.75">
      <c r="B215" s="319"/>
      <c r="C215" s="473"/>
      <c r="D215" s="330"/>
      <c r="E215" s="319"/>
    </row>
    <row r="216" spans="2:8" s="375" customFormat="1" ht="12.75">
      <c r="B216" s="315" t="s">
        <v>1028</v>
      </c>
      <c r="G216" s="399"/>
      <c r="H216" s="399"/>
    </row>
    <row r="217" spans="2:8" s="375" customFormat="1" ht="38.25">
      <c r="B217" s="483" t="s">
        <v>1029</v>
      </c>
      <c r="C217" s="483" t="s">
        <v>1030</v>
      </c>
      <c r="D217" s="483" t="s">
        <v>1031</v>
      </c>
      <c r="E217" s="483" t="s">
        <v>1032</v>
      </c>
      <c r="F217" s="483" t="s">
        <v>1033</v>
      </c>
      <c r="G217" s="399"/>
      <c r="H217" s="399"/>
    </row>
    <row r="218" spans="2:8" s="484" customFormat="1" ht="25.5">
      <c r="B218" s="485" t="s">
        <v>908</v>
      </c>
      <c r="C218" s="486">
        <f>150000/23.83/8</f>
        <v>786.82</v>
      </c>
      <c r="D218" s="486">
        <f>C218*$C$24</f>
        <v>0</v>
      </c>
      <c r="E218" s="486">
        <f>30000/23.83/8</f>
        <v>157.36</v>
      </c>
      <c r="F218" s="486">
        <f>ROUND((C218+D218+E218),2)</f>
        <v>944.18</v>
      </c>
      <c r="G218" s="487">
        <f>8*F218</f>
        <v>7553.44</v>
      </c>
      <c r="H218" s="487"/>
    </row>
    <row r="219" spans="7:8" s="375" customFormat="1" ht="12.75">
      <c r="G219" s="399"/>
      <c r="H219" s="399"/>
    </row>
  </sheetData>
  <sheetProtection/>
  <mergeCells count="1">
    <mergeCell ref="A3:H3"/>
  </mergeCells>
  <printOptions horizontalCentered="1"/>
  <pageMargins left="0.3937007874015748" right="0.3937007874015748" top="0.4724409448818898" bottom="0.7086614173228347" header="0.5118110236220472" footer="0.5118110236220472"/>
  <pageSetup horizontalDpi="300" verticalDpi="300" orientation="landscape" r:id="rId1"/>
  <ignoredErrors>
    <ignoredError sqref="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M10077"/>
  <sheetViews>
    <sheetView zoomScaleSheetLayoutView="100" zoomScalePageLayoutView="0" workbookViewId="0" topLeftCell="B67">
      <selection activeCell="C4" sqref="C4"/>
    </sheetView>
  </sheetViews>
  <sheetFormatPr defaultColWidth="11.57421875" defaultRowHeight="22.5" customHeight="1"/>
  <cols>
    <col min="1" max="1" width="3.00390625" style="11" customWidth="1"/>
    <col min="2" max="2" width="27.421875" style="11" customWidth="1"/>
    <col min="3" max="3" width="15.421875" style="11" customWidth="1"/>
    <col min="4" max="4" width="11.00390625" style="11" customWidth="1"/>
    <col min="5" max="5" width="11.7109375" style="11" customWidth="1"/>
    <col min="6" max="6" width="12.28125" style="15" customWidth="1"/>
    <col min="7" max="7" width="11.00390625" style="11" customWidth="1"/>
    <col min="8" max="8" width="12.28125" style="11" customWidth="1"/>
    <col min="9" max="9" width="13.00390625" style="11" customWidth="1"/>
    <col min="10" max="16384" width="11.57421875" style="11" customWidth="1"/>
  </cols>
  <sheetData>
    <row r="1" spans="2:9" s="20" customFormat="1" ht="17.25" customHeight="1">
      <c r="B1" s="811" t="s">
        <v>185</v>
      </c>
      <c r="C1" s="811"/>
      <c r="D1" s="811"/>
      <c r="E1" s="811"/>
      <c r="F1" s="811"/>
      <c r="G1" s="811"/>
      <c r="H1" s="811"/>
      <c r="I1" s="811"/>
    </row>
    <row r="2" spans="2:9" s="20" customFormat="1" ht="17.25" customHeight="1">
      <c r="B2" s="44"/>
      <c r="C2" s="44"/>
      <c r="D2" s="44"/>
      <c r="E2" s="44"/>
      <c r="F2" s="44"/>
      <c r="G2" s="44"/>
      <c r="H2" s="44"/>
      <c r="I2" s="44"/>
    </row>
    <row r="3" spans="2:9" s="21" customFormat="1" ht="14.25" customHeight="1">
      <c r="B3" s="812" t="s">
        <v>250</v>
      </c>
      <c r="C3" s="812"/>
      <c r="D3" s="812"/>
      <c r="E3" s="812"/>
      <c r="F3" s="812"/>
      <c r="G3" s="812"/>
      <c r="H3" s="812"/>
      <c r="I3" s="812"/>
    </row>
    <row r="4" spans="2:9" s="21" customFormat="1" ht="14.25" customHeight="1">
      <c r="B4" s="66" t="s">
        <v>191</v>
      </c>
      <c r="C4" s="49">
        <f>Materiales!D36</f>
        <v>207.9</v>
      </c>
      <c r="D4" s="49" t="s">
        <v>96</v>
      </c>
      <c r="E4" s="49"/>
      <c r="F4" s="49"/>
      <c r="G4" s="48"/>
      <c r="H4" s="48"/>
      <c r="I4" s="48"/>
    </row>
    <row r="5" spans="2:9" s="21" customFormat="1" ht="14.25" customHeight="1">
      <c r="B5" s="66" t="s">
        <v>190</v>
      </c>
      <c r="C5" s="49"/>
      <c r="D5" s="49"/>
      <c r="E5" s="49"/>
      <c r="F5" s="49"/>
      <c r="G5" s="48"/>
      <c r="H5" s="48"/>
      <c r="I5" s="48"/>
    </row>
    <row r="6" spans="2:9" s="21" customFormat="1" ht="14.25" customHeight="1">
      <c r="B6" s="66" t="s">
        <v>186</v>
      </c>
      <c r="C6" s="49"/>
      <c r="D6" s="49"/>
      <c r="E6" s="49"/>
      <c r="F6" s="49"/>
      <c r="G6" s="48"/>
      <c r="H6" s="48"/>
      <c r="I6" s="48"/>
    </row>
    <row r="7" spans="2:9" s="21" customFormat="1" ht="15.75" customHeight="1">
      <c r="B7" s="66"/>
      <c r="C7" s="49"/>
      <c r="D7" s="49"/>
      <c r="E7" s="49"/>
      <c r="F7" s="49"/>
      <c r="G7" s="48"/>
      <c r="H7" s="48"/>
      <c r="I7" s="48"/>
    </row>
    <row r="8" spans="2:9" s="21" customFormat="1" ht="13.5" customHeight="1" thickBot="1">
      <c r="B8" s="47"/>
      <c r="C8" s="45"/>
      <c r="D8" s="45"/>
      <c r="E8" s="45"/>
      <c r="F8" s="45"/>
      <c r="G8" s="45"/>
      <c r="H8" s="45"/>
      <c r="I8" s="45"/>
    </row>
    <row r="9" spans="2:9" s="22" customFormat="1" ht="39" customHeight="1" thickBot="1">
      <c r="B9" s="67" t="s">
        <v>28</v>
      </c>
      <c r="C9" s="68" t="s">
        <v>123</v>
      </c>
      <c r="D9" s="68" t="s">
        <v>189</v>
      </c>
      <c r="E9" s="68" t="s">
        <v>124</v>
      </c>
      <c r="F9" s="68" t="s">
        <v>29</v>
      </c>
      <c r="G9" s="68" t="s">
        <v>197</v>
      </c>
      <c r="H9" s="68" t="s">
        <v>187</v>
      </c>
      <c r="I9" s="65" t="s">
        <v>188</v>
      </c>
    </row>
    <row r="10" spans="2:9" s="23" customFormat="1" ht="23.25" customHeight="1" thickTop="1">
      <c r="B10" s="69" t="s">
        <v>30</v>
      </c>
      <c r="C10" s="70" t="s">
        <v>31</v>
      </c>
      <c r="D10" s="70">
        <v>460</v>
      </c>
      <c r="E10" s="70">
        <v>6050</v>
      </c>
      <c r="F10" s="71">
        <f>E10*1.18</f>
        <v>7139</v>
      </c>
      <c r="G10" s="72">
        <f>D10*0.04*C4</f>
        <v>3825.36</v>
      </c>
      <c r="H10" s="71">
        <f aca="true" t="shared" si="0" ref="H10:H28">G10*0.2</f>
        <v>765.07</v>
      </c>
      <c r="I10" s="73">
        <f>SUM(F10:H10)</f>
        <v>11729.43</v>
      </c>
    </row>
    <row r="11" spans="2:11" s="23" customFormat="1" ht="16.5" customHeight="1">
      <c r="B11" s="74" t="s">
        <v>32</v>
      </c>
      <c r="C11" s="75" t="s">
        <v>33</v>
      </c>
      <c r="D11" s="75">
        <v>410</v>
      </c>
      <c r="E11" s="75">
        <v>4294.82</v>
      </c>
      <c r="F11" s="76">
        <f>E11*1.18</f>
        <v>5067.89</v>
      </c>
      <c r="G11" s="77">
        <f>D11*0.04*$C$4</f>
        <v>3409.56</v>
      </c>
      <c r="H11" s="76">
        <f t="shared" si="0"/>
        <v>681.91</v>
      </c>
      <c r="I11" s="78">
        <f aca="true" t="shared" si="1" ref="I11:I28">SUM(F11:H11)</f>
        <v>9159.36</v>
      </c>
      <c r="K11" s="23" t="s">
        <v>34</v>
      </c>
    </row>
    <row r="12" spans="2:11" s="23" customFormat="1" ht="16.5" customHeight="1">
      <c r="B12" s="74" t="s">
        <v>32</v>
      </c>
      <c r="C12" s="75" t="s">
        <v>34</v>
      </c>
      <c r="D12" s="75">
        <v>310</v>
      </c>
      <c r="E12" s="75">
        <v>5500</v>
      </c>
      <c r="F12" s="76">
        <f aca="true" t="shared" si="2" ref="F12:F75">E12*1.18</f>
        <v>6490</v>
      </c>
      <c r="G12" s="77">
        <f aca="true" t="shared" si="3" ref="G12:G74">D12*0.04*$C$4</f>
        <v>2577.96</v>
      </c>
      <c r="H12" s="76">
        <f t="shared" si="0"/>
        <v>515.59</v>
      </c>
      <c r="I12" s="116">
        <f t="shared" si="1"/>
        <v>9583.55</v>
      </c>
      <c r="K12" s="23">
        <f>D12*0.04</f>
        <v>12.4</v>
      </c>
    </row>
    <row r="13" spans="2:13" s="23" customFormat="1" ht="16.5" customHeight="1">
      <c r="B13" s="74" t="s">
        <v>32</v>
      </c>
      <c r="C13" s="75" t="s">
        <v>35</v>
      </c>
      <c r="D13" s="75">
        <v>335</v>
      </c>
      <c r="E13" s="75">
        <v>3630.52</v>
      </c>
      <c r="F13" s="76">
        <f t="shared" si="2"/>
        <v>4284.01</v>
      </c>
      <c r="G13" s="77">
        <f t="shared" si="3"/>
        <v>2785.86</v>
      </c>
      <c r="H13" s="76">
        <f t="shared" si="0"/>
        <v>557.17</v>
      </c>
      <c r="I13" s="78">
        <f t="shared" si="1"/>
        <v>7627.04</v>
      </c>
      <c r="K13" s="23">
        <f>110*37.9*1.16</f>
        <v>4836.04</v>
      </c>
      <c r="L13" s="23">
        <f>K12*187.9</f>
        <v>2329.96</v>
      </c>
      <c r="M13" s="23">
        <f>SUM(K13:L13)</f>
        <v>7166</v>
      </c>
    </row>
    <row r="14" spans="2:11" s="23" customFormat="1" ht="16.5" customHeight="1">
      <c r="B14" s="74" t="s">
        <v>32</v>
      </c>
      <c r="C14" s="75" t="s">
        <v>125</v>
      </c>
      <c r="D14" s="75">
        <v>320</v>
      </c>
      <c r="E14" s="75">
        <v>3460.58</v>
      </c>
      <c r="F14" s="76">
        <f t="shared" si="2"/>
        <v>4083.48</v>
      </c>
      <c r="G14" s="77">
        <f t="shared" si="3"/>
        <v>2661.12</v>
      </c>
      <c r="H14" s="76">
        <f t="shared" si="0"/>
        <v>532.22</v>
      </c>
      <c r="I14" s="78">
        <f t="shared" si="1"/>
        <v>7276.82</v>
      </c>
      <c r="K14" s="23">
        <f>F12+H12</f>
        <v>7005.59</v>
      </c>
    </row>
    <row r="15" spans="2:9" s="23" customFormat="1" ht="16.5" customHeight="1">
      <c r="B15" s="74" t="s">
        <v>32</v>
      </c>
      <c r="C15" s="75" t="s">
        <v>36</v>
      </c>
      <c r="D15" s="75">
        <v>300</v>
      </c>
      <c r="E15" s="75">
        <v>3352.43</v>
      </c>
      <c r="F15" s="76">
        <f t="shared" si="2"/>
        <v>3955.87</v>
      </c>
      <c r="G15" s="77">
        <f t="shared" si="3"/>
        <v>2494.8</v>
      </c>
      <c r="H15" s="76">
        <f t="shared" si="0"/>
        <v>498.96</v>
      </c>
      <c r="I15" s="116">
        <f t="shared" si="1"/>
        <v>6949.63</v>
      </c>
    </row>
    <row r="16" spans="2:9" s="23" customFormat="1" ht="16.5" customHeight="1">
      <c r="B16" s="74" t="s">
        <v>32</v>
      </c>
      <c r="C16" s="75" t="s">
        <v>37</v>
      </c>
      <c r="D16" s="75">
        <v>270</v>
      </c>
      <c r="E16" s="75">
        <v>2935.31</v>
      </c>
      <c r="F16" s="76">
        <f t="shared" si="2"/>
        <v>3463.67</v>
      </c>
      <c r="G16" s="77">
        <f t="shared" si="3"/>
        <v>2245.32</v>
      </c>
      <c r="H16" s="76">
        <f t="shared" si="0"/>
        <v>449.06</v>
      </c>
      <c r="I16" s="78">
        <f t="shared" si="1"/>
        <v>6158.05</v>
      </c>
    </row>
    <row r="17" spans="2:9" s="23" customFormat="1" ht="16.5" customHeight="1">
      <c r="B17" s="74" t="s">
        <v>32</v>
      </c>
      <c r="C17" s="75" t="s">
        <v>38</v>
      </c>
      <c r="D17" s="75">
        <v>235</v>
      </c>
      <c r="E17" s="75">
        <v>2672.68</v>
      </c>
      <c r="F17" s="76">
        <f t="shared" si="2"/>
        <v>3153.76</v>
      </c>
      <c r="G17" s="77">
        <f t="shared" si="3"/>
        <v>1954.26</v>
      </c>
      <c r="H17" s="76">
        <f t="shared" si="0"/>
        <v>390.85</v>
      </c>
      <c r="I17" s="78">
        <f t="shared" si="1"/>
        <v>5498.87</v>
      </c>
    </row>
    <row r="18" spans="2:9" s="23" customFormat="1" ht="16.5" customHeight="1">
      <c r="B18" s="74" t="s">
        <v>32</v>
      </c>
      <c r="C18" s="75" t="s">
        <v>39</v>
      </c>
      <c r="D18" s="75">
        <v>220</v>
      </c>
      <c r="E18" s="75">
        <v>2209.21</v>
      </c>
      <c r="F18" s="76">
        <f t="shared" si="2"/>
        <v>2606.87</v>
      </c>
      <c r="G18" s="77">
        <f t="shared" si="3"/>
        <v>1829.52</v>
      </c>
      <c r="H18" s="76">
        <f t="shared" si="0"/>
        <v>365.9</v>
      </c>
      <c r="I18" s="78">
        <f t="shared" si="1"/>
        <v>4802.29</v>
      </c>
    </row>
    <row r="19" spans="2:9" s="23" customFormat="1" ht="16.5" customHeight="1">
      <c r="B19" s="74" t="s">
        <v>32</v>
      </c>
      <c r="C19" s="75" t="s">
        <v>40</v>
      </c>
      <c r="D19" s="75">
        <v>200</v>
      </c>
      <c r="E19" s="75">
        <v>2301.9</v>
      </c>
      <c r="F19" s="76">
        <f t="shared" si="2"/>
        <v>2716.24</v>
      </c>
      <c r="G19" s="77">
        <f t="shared" si="3"/>
        <v>1663.2</v>
      </c>
      <c r="H19" s="76">
        <f t="shared" si="0"/>
        <v>332.64</v>
      </c>
      <c r="I19" s="78">
        <f t="shared" si="1"/>
        <v>4712.08</v>
      </c>
    </row>
    <row r="20" spans="2:9" s="23" customFormat="1" ht="16.5" customHeight="1">
      <c r="B20" s="74" t="s">
        <v>32</v>
      </c>
      <c r="C20" s="75" t="s">
        <v>41</v>
      </c>
      <c r="D20" s="75">
        <v>180</v>
      </c>
      <c r="E20" s="75">
        <v>2131.96</v>
      </c>
      <c r="F20" s="76">
        <f t="shared" si="2"/>
        <v>2515.71</v>
      </c>
      <c r="G20" s="77">
        <f t="shared" si="3"/>
        <v>1496.88</v>
      </c>
      <c r="H20" s="76">
        <f t="shared" si="0"/>
        <v>299.38</v>
      </c>
      <c r="I20" s="78">
        <f t="shared" si="1"/>
        <v>4311.97</v>
      </c>
    </row>
    <row r="21" spans="2:9" s="23" customFormat="1" ht="16.5" customHeight="1">
      <c r="B21" s="74" t="s">
        <v>32</v>
      </c>
      <c r="C21" s="75" t="s">
        <v>42</v>
      </c>
      <c r="D21" s="75">
        <v>160</v>
      </c>
      <c r="E21" s="75">
        <v>1637.59</v>
      </c>
      <c r="F21" s="76">
        <f t="shared" si="2"/>
        <v>1932.36</v>
      </c>
      <c r="G21" s="77">
        <f t="shared" si="3"/>
        <v>1330.56</v>
      </c>
      <c r="H21" s="76">
        <f t="shared" si="0"/>
        <v>266.11</v>
      </c>
      <c r="I21" s="78">
        <f t="shared" si="1"/>
        <v>3529.03</v>
      </c>
    </row>
    <row r="22" spans="2:9" s="23" customFormat="1" ht="16.5" customHeight="1">
      <c r="B22" s="74" t="s">
        <v>32</v>
      </c>
      <c r="C22" s="75" t="s">
        <v>43</v>
      </c>
      <c r="D22" s="75">
        <v>140</v>
      </c>
      <c r="E22" s="75">
        <v>1838.43</v>
      </c>
      <c r="F22" s="76">
        <f t="shared" si="2"/>
        <v>2169.35</v>
      </c>
      <c r="G22" s="77">
        <f t="shared" si="3"/>
        <v>1164.24</v>
      </c>
      <c r="H22" s="76">
        <f t="shared" si="0"/>
        <v>232.85</v>
      </c>
      <c r="I22" s="78">
        <f t="shared" si="1"/>
        <v>3566.44</v>
      </c>
    </row>
    <row r="23" spans="2:9" s="23" customFormat="1" ht="16.5" customHeight="1">
      <c r="B23" s="74" t="s">
        <v>32</v>
      </c>
      <c r="C23" s="75" t="s">
        <v>44</v>
      </c>
      <c r="D23" s="75">
        <v>140</v>
      </c>
      <c r="E23" s="75">
        <v>1745.74</v>
      </c>
      <c r="F23" s="76">
        <f t="shared" si="2"/>
        <v>2059.97</v>
      </c>
      <c r="G23" s="77">
        <f t="shared" si="3"/>
        <v>1164.24</v>
      </c>
      <c r="H23" s="76">
        <f t="shared" si="0"/>
        <v>232.85</v>
      </c>
      <c r="I23" s="78">
        <f t="shared" si="1"/>
        <v>3457.06</v>
      </c>
    </row>
    <row r="24" spans="2:9" s="23" customFormat="1" ht="16.5" customHeight="1">
      <c r="B24" s="74" t="s">
        <v>32</v>
      </c>
      <c r="C24" s="75" t="s">
        <v>45</v>
      </c>
      <c r="D24" s="75">
        <v>140</v>
      </c>
      <c r="E24" s="75">
        <v>1637.59</v>
      </c>
      <c r="F24" s="76">
        <f t="shared" si="2"/>
        <v>1932.36</v>
      </c>
      <c r="G24" s="77">
        <f t="shared" si="3"/>
        <v>1164.24</v>
      </c>
      <c r="H24" s="76">
        <f t="shared" si="0"/>
        <v>232.85</v>
      </c>
      <c r="I24" s="78">
        <f t="shared" si="1"/>
        <v>3329.45</v>
      </c>
    </row>
    <row r="25" spans="2:9" s="23" customFormat="1" ht="16.5" customHeight="1">
      <c r="B25" s="74" t="s">
        <v>32</v>
      </c>
      <c r="C25" s="75" t="s">
        <v>126</v>
      </c>
      <c r="D25" s="75">
        <v>140</v>
      </c>
      <c r="E25" s="75">
        <v>1745.74</v>
      </c>
      <c r="F25" s="76">
        <f t="shared" si="2"/>
        <v>2059.97</v>
      </c>
      <c r="G25" s="77">
        <f t="shared" si="3"/>
        <v>1164.24</v>
      </c>
      <c r="H25" s="76">
        <f t="shared" si="0"/>
        <v>232.85</v>
      </c>
      <c r="I25" s="78">
        <f t="shared" si="1"/>
        <v>3457.06</v>
      </c>
    </row>
    <row r="26" spans="2:9" s="23" customFormat="1" ht="16.5" customHeight="1">
      <c r="B26" s="74" t="s">
        <v>32</v>
      </c>
      <c r="C26" s="75" t="s">
        <v>46</v>
      </c>
      <c r="D26" s="75">
        <v>140</v>
      </c>
      <c r="E26" s="75">
        <v>1529.45</v>
      </c>
      <c r="F26" s="76">
        <f t="shared" si="2"/>
        <v>1804.75</v>
      </c>
      <c r="G26" s="77">
        <f t="shared" si="3"/>
        <v>1164.24</v>
      </c>
      <c r="H26" s="76">
        <f t="shared" si="0"/>
        <v>232.85</v>
      </c>
      <c r="I26" s="78">
        <f t="shared" si="1"/>
        <v>3201.84</v>
      </c>
    </row>
    <row r="27" spans="2:9" s="23" customFormat="1" ht="16.5" customHeight="1">
      <c r="B27" s="74" t="s">
        <v>32</v>
      </c>
      <c r="C27" s="75" t="s">
        <v>47</v>
      </c>
      <c r="D27" s="75">
        <v>105</v>
      </c>
      <c r="E27" s="75">
        <v>1328.61</v>
      </c>
      <c r="F27" s="76">
        <f t="shared" si="2"/>
        <v>1567.76</v>
      </c>
      <c r="G27" s="77">
        <f t="shared" si="3"/>
        <v>873.18</v>
      </c>
      <c r="H27" s="76">
        <f t="shared" si="0"/>
        <v>174.64</v>
      </c>
      <c r="I27" s="78">
        <f t="shared" si="1"/>
        <v>2615.58</v>
      </c>
    </row>
    <row r="28" spans="2:9" s="23" customFormat="1" ht="16.5" customHeight="1" thickBot="1">
      <c r="B28" s="84" t="s">
        <v>32</v>
      </c>
      <c r="C28" s="85" t="s">
        <v>48</v>
      </c>
      <c r="D28" s="85">
        <v>75</v>
      </c>
      <c r="E28" s="85">
        <v>973.29</v>
      </c>
      <c r="F28" s="86">
        <f t="shared" si="2"/>
        <v>1148.48</v>
      </c>
      <c r="G28" s="87">
        <f t="shared" si="3"/>
        <v>623.7</v>
      </c>
      <c r="H28" s="86">
        <f t="shared" si="0"/>
        <v>124.74</v>
      </c>
      <c r="I28" s="88">
        <f t="shared" si="1"/>
        <v>1896.92</v>
      </c>
    </row>
    <row r="29" spans="2:9" s="23" customFormat="1" ht="15" customHeight="1">
      <c r="B29" s="89"/>
      <c r="C29" s="90"/>
      <c r="D29" s="90"/>
      <c r="E29" s="90"/>
      <c r="F29" s="76"/>
      <c r="G29" s="92"/>
      <c r="H29" s="91"/>
      <c r="I29" s="93"/>
    </row>
    <row r="30" spans="2:9" s="23" customFormat="1" ht="16.5" customHeight="1">
      <c r="B30" s="79" t="s">
        <v>49</v>
      </c>
      <c r="C30" s="75" t="s">
        <v>50</v>
      </c>
      <c r="D30" s="75">
        <v>165</v>
      </c>
      <c r="E30" s="75">
        <v>2100</v>
      </c>
      <c r="F30" s="76">
        <f t="shared" si="2"/>
        <v>2478</v>
      </c>
      <c r="G30" s="77">
        <f t="shared" si="3"/>
        <v>1372.14</v>
      </c>
      <c r="H30" s="76">
        <f aca="true" t="shared" si="4" ref="H30:H39">G30*0.2</f>
        <v>274.43</v>
      </c>
      <c r="I30" s="78">
        <f aca="true" t="shared" si="5" ref="I30:I39">SUM(F30:H30)</f>
        <v>4124.57</v>
      </c>
    </row>
    <row r="31" spans="2:9" s="23" customFormat="1" ht="16.5" customHeight="1">
      <c r="B31" s="74" t="s">
        <v>32</v>
      </c>
      <c r="C31" s="75" t="s">
        <v>51</v>
      </c>
      <c r="D31" s="75">
        <v>140</v>
      </c>
      <c r="E31" s="75">
        <v>1825</v>
      </c>
      <c r="F31" s="76">
        <f t="shared" si="2"/>
        <v>2153.5</v>
      </c>
      <c r="G31" s="77">
        <f t="shared" si="3"/>
        <v>1164.24</v>
      </c>
      <c r="H31" s="76">
        <f t="shared" si="4"/>
        <v>232.85</v>
      </c>
      <c r="I31" s="78">
        <f t="shared" si="5"/>
        <v>3550.59</v>
      </c>
    </row>
    <row r="32" spans="2:12" s="23" customFormat="1" ht="16.5" customHeight="1">
      <c r="B32" s="74" t="s">
        <v>32</v>
      </c>
      <c r="C32" s="75" t="s">
        <v>127</v>
      </c>
      <c r="D32" s="76">
        <v>135</v>
      </c>
      <c r="E32" s="75">
        <v>1606.7</v>
      </c>
      <c r="F32" s="76">
        <f t="shared" si="2"/>
        <v>1895.91</v>
      </c>
      <c r="G32" s="77">
        <f t="shared" si="3"/>
        <v>1122.66</v>
      </c>
      <c r="H32" s="76">
        <f t="shared" si="4"/>
        <v>224.53</v>
      </c>
      <c r="I32" s="116">
        <f t="shared" si="5"/>
        <v>3243.1</v>
      </c>
      <c r="K32" s="23">
        <f>70*37.9*1.16</f>
        <v>3077.48</v>
      </c>
      <c r="L32" s="23" t="s">
        <v>258</v>
      </c>
    </row>
    <row r="33" spans="2:9" s="23" customFormat="1" ht="16.5" customHeight="1">
      <c r="B33" s="74" t="s">
        <v>32</v>
      </c>
      <c r="C33" s="75" t="s">
        <v>128</v>
      </c>
      <c r="D33" s="76">
        <v>125</v>
      </c>
      <c r="E33" s="75">
        <v>1498.55</v>
      </c>
      <c r="F33" s="76">
        <f t="shared" si="2"/>
        <v>1768.29</v>
      </c>
      <c r="G33" s="77">
        <f t="shared" si="3"/>
        <v>1039.5</v>
      </c>
      <c r="H33" s="76">
        <f t="shared" si="4"/>
        <v>207.9</v>
      </c>
      <c r="I33" s="78">
        <f t="shared" si="5"/>
        <v>3015.69</v>
      </c>
    </row>
    <row r="34" spans="2:9" s="23" customFormat="1" ht="16.5" customHeight="1">
      <c r="B34" s="74" t="s">
        <v>32</v>
      </c>
      <c r="C34" s="75" t="s">
        <v>129</v>
      </c>
      <c r="D34" s="76">
        <v>125</v>
      </c>
      <c r="E34" s="75">
        <v>1498.55</v>
      </c>
      <c r="F34" s="76">
        <f t="shared" si="2"/>
        <v>1768.29</v>
      </c>
      <c r="G34" s="77">
        <f t="shared" si="3"/>
        <v>1039.5</v>
      </c>
      <c r="H34" s="76">
        <f t="shared" si="4"/>
        <v>207.9</v>
      </c>
      <c r="I34" s="78">
        <f t="shared" si="5"/>
        <v>3015.69</v>
      </c>
    </row>
    <row r="35" spans="2:9" s="23" customFormat="1" ht="16.5" customHeight="1">
      <c r="B35" s="74" t="s">
        <v>32</v>
      </c>
      <c r="C35" s="75" t="s">
        <v>52</v>
      </c>
      <c r="D35" s="76">
        <v>125</v>
      </c>
      <c r="E35" s="75">
        <v>1483.1</v>
      </c>
      <c r="F35" s="76">
        <f t="shared" si="2"/>
        <v>1750.06</v>
      </c>
      <c r="G35" s="77">
        <f t="shared" si="3"/>
        <v>1039.5</v>
      </c>
      <c r="H35" s="76">
        <f t="shared" si="4"/>
        <v>207.9</v>
      </c>
      <c r="I35" s="78">
        <f t="shared" si="5"/>
        <v>2997.46</v>
      </c>
    </row>
    <row r="36" spans="2:9" s="23" customFormat="1" ht="16.5" customHeight="1">
      <c r="B36" s="74" t="s">
        <v>32</v>
      </c>
      <c r="C36" s="75" t="s">
        <v>53</v>
      </c>
      <c r="D36" s="76">
        <v>115</v>
      </c>
      <c r="E36" s="75">
        <v>1220.47</v>
      </c>
      <c r="F36" s="76">
        <f t="shared" si="2"/>
        <v>1440.15</v>
      </c>
      <c r="G36" s="77">
        <f t="shared" si="3"/>
        <v>956.34</v>
      </c>
      <c r="H36" s="76">
        <f t="shared" si="4"/>
        <v>191.27</v>
      </c>
      <c r="I36" s="78">
        <f t="shared" si="5"/>
        <v>2587.76</v>
      </c>
    </row>
    <row r="37" spans="2:9" s="23" customFormat="1" ht="16.5" customHeight="1">
      <c r="B37" s="74" t="s">
        <v>32</v>
      </c>
      <c r="C37" s="75" t="s">
        <v>54</v>
      </c>
      <c r="D37" s="76">
        <v>220</v>
      </c>
      <c r="E37" s="75">
        <v>1767.37</v>
      </c>
      <c r="F37" s="76">
        <f t="shared" si="2"/>
        <v>2085.5</v>
      </c>
      <c r="G37" s="77">
        <f t="shared" si="3"/>
        <v>1829.52</v>
      </c>
      <c r="H37" s="76">
        <f t="shared" si="4"/>
        <v>365.9</v>
      </c>
      <c r="I37" s="78">
        <f t="shared" si="5"/>
        <v>4280.92</v>
      </c>
    </row>
    <row r="38" spans="2:9" s="23" customFormat="1" ht="16.5" customHeight="1">
      <c r="B38" s="74" t="s">
        <v>32</v>
      </c>
      <c r="C38" s="75" t="s">
        <v>55</v>
      </c>
      <c r="D38" s="76">
        <v>275</v>
      </c>
      <c r="E38" s="75">
        <v>1944.1</v>
      </c>
      <c r="F38" s="76">
        <f t="shared" si="2"/>
        <v>2294.04</v>
      </c>
      <c r="G38" s="77">
        <f t="shared" si="3"/>
        <v>2286.9</v>
      </c>
      <c r="H38" s="76">
        <f t="shared" si="4"/>
        <v>457.38</v>
      </c>
      <c r="I38" s="78">
        <f t="shared" si="5"/>
        <v>5038.32</v>
      </c>
    </row>
    <row r="39" spans="2:9" s="23" customFormat="1" ht="16.5" customHeight="1">
      <c r="B39" s="74" t="s">
        <v>32</v>
      </c>
      <c r="C39" s="75" t="s">
        <v>130</v>
      </c>
      <c r="D39" s="76">
        <v>100</v>
      </c>
      <c r="E39" s="75">
        <v>1019.63</v>
      </c>
      <c r="F39" s="76">
        <f t="shared" si="2"/>
        <v>1203.16</v>
      </c>
      <c r="G39" s="77">
        <f t="shared" si="3"/>
        <v>831.6</v>
      </c>
      <c r="H39" s="76">
        <f t="shared" si="4"/>
        <v>166.32</v>
      </c>
      <c r="I39" s="78">
        <f t="shared" si="5"/>
        <v>2201.08</v>
      </c>
    </row>
    <row r="40" spans="2:9" s="23" customFormat="1" ht="15" customHeight="1">
      <c r="B40" s="74"/>
      <c r="C40" s="75"/>
      <c r="D40" s="76"/>
      <c r="E40" s="75"/>
      <c r="F40" s="76"/>
      <c r="G40" s="77"/>
      <c r="H40" s="76"/>
      <c r="I40" s="78"/>
    </row>
    <row r="41" spans="2:9" s="23" customFormat="1" ht="16.5" customHeight="1">
      <c r="B41" s="80" t="s">
        <v>131</v>
      </c>
      <c r="C41" s="75" t="s">
        <v>132</v>
      </c>
      <c r="D41" s="76">
        <v>215</v>
      </c>
      <c r="E41" s="75">
        <v>3336.98</v>
      </c>
      <c r="F41" s="76">
        <f t="shared" si="2"/>
        <v>3937.64</v>
      </c>
      <c r="G41" s="77">
        <f t="shared" si="3"/>
        <v>1787.94</v>
      </c>
      <c r="H41" s="76">
        <f aca="true" t="shared" si="6" ref="H41:H47">G41*0.2</f>
        <v>357.59</v>
      </c>
      <c r="I41" s="78">
        <f aca="true" t="shared" si="7" ref="I41:I47">SUM(F41:H41)</f>
        <v>6083.17</v>
      </c>
    </row>
    <row r="42" spans="2:9" s="23" customFormat="1" ht="16.5" customHeight="1">
      <c r="B42" s="74" t="s">
        <v>32</v>
      </c>
      <c r="C42" s="75" t="s">
        <v>133</v>
      </c>
      <c r="D42" s="76">
        <v>145</v>
      </c>
      <c r="E42" s="75">
        <v>2209.21</v>
      </c>
      <c r="F42" s="76">
        <f t="shared" si="2"/>
        <v>2606.87</v>
      </c>
      <c r="G42" s="77">
        <f t="shared" si="3"/>
        <v>1205.82</v>
      </c>
      <c r="H42" s="76">
        <f t="shared" si="6"/>
        <v>241.16</v>
      </c>
      <c r="I42" s="78">
        <f t="shared" si="7"/>
        <v>4053.85</v>
      </c>
    </row>
    <row r="43" spans="2:9" s="23" customFormat="1" ht="16.5" customHeight="1">
      <c r="B43" s="74" t="s">
        <v>32</v>
      </c>
      <c r="C43" s="75" t="s">
        <v>56</v>
      </c>
      <c r="D43" s="76">
        <v>128</v>
      </c>
      <c r="E43" s="75">
        <v>3051.18</v>
      </c>
      <c r="F43" s="76">
        <f t="shared" si="2"/>
        <v>3600.39</v>
      </c>
      <c r="G43" s="77">
        <f t="shared" si="3"/>
        <v>1064.45</v>
      </c>
      <c r="H43" s="76">
        <f t="shared" si="6"/>
        <v>212.89</v>
      </c>
      <c r="I43" s="78">
        <f t="shared" si="7"/>
        <v>4877.73</v>
      </c>
    </row>
    <row r="44" spans="2:9" s="23" customFormat="1" ht="16.5" customHeight="1">
      <c r="B44" s="74" t="s">
        <v>32</v>
      </c>
      <c r="C44" s="81">
        <v>330</v>
      </c>
      <c r="D44" s="76">
        <v>247</v>
      </c>
      <c r="E44" s="75">
        <v>3356.3</v>
      </c>
      <c r="F44" s="76">
        <f t="shared" si="2"/>
        <v>3960.43</v>
      </c>
      <c r="G44" s="77">
        <f t="shared" si="3"/>
        <v>2054.05</v>
      </c>
      <c r="H44" s="76">
        <f t="shared" si="6"/>
        <v>410.81</v>
      </c>
      <c r="I44" s="78">
        <f t="shared" si="7"/>
        <v>6425.29</v>
      </c>
    </row>
    <row r="45" spans="2:9" s="23" customFormat="1" ht="16.5" customHeight="1">
      <c r="B45" s="74" t="s">
        <v>32</v>
      </c>
      <c r="C45" s="81">
        <v>345</v>
      </c>
      <c r="D45" s="76">
        <v>321</v>
      </c>
      <c r="E45" s="75">
        <v>5500</v>
      </c>
      <c r="F45" s="76">
        <f t="shared" si="2"/>
        <v>6490</v>
      </c>
      <c r="G45" s="77">
        <f t="shared" si="3"/>
        <v>2669.44</v>
      </c>
      <c r="H45" s="76">
        <f t="shared" si="6"/>
        <v>533.89</v>
      </c>
      <c r="I45" s="78">
        <f t="shared" si="7"/>
        <v>9693.33</v>
      </c>
    </row>
    <row r="46" spans="2:9" s="23" customFormat="1" ht="16.5" customHeight="1">
      <c r="B46" s="74" t="s">
        <v>32</v>
      </c>
      <c r="C46" s="75" t="s">
        <v>57</v>
      </c>
      <c r="D46" s="76">
        <v>404</v>
      </c>
      <c r="E46" s="75">
        <v>7800</v>
      </c>
      <c r="F46" s="76">
        <f t="shared" si="2"/>
        <v>9204</v>
      </c>
      <c r="G46" s="77">
        <f t="shared" si="3"/>
        <v>3359.66</v>
      </c>
      <c r="H46" s="76">
        <f t="shared" si="6"/>
        <v>671.93</v>
      </c>
      <c r="I46" s="78">
        <f t="shared" si="7"/>
        <v>13235.59</v>
      </c>
    </row>
    <row r="47" spans="2:12" s="23" customFormat="1" ht="16.5" customHeight="1">
      <c r="B47" s="74" t="s">
        <v>32</v>
      </c>
      <c r="C47" s="82">
        <v>416</v>
      </c>
      <c r="D47" s="76">
        <v>80</v>
      </c>
      <c r="E47" s="75">
        <v>1060</v>
      </c>
      <c r="F47" s="76">
        <f t="shared" si="2"/>
        <v>1250.8</v>
      </c>
      <c r="G47" s="77">
        <f t="shared" si="3"/>
        <v>665.28</v>
      </c>
      <c r="H47" s="76">
        <f t="shared" si="6"/>
        <v>133.06</v>
      </c>
      <c r="I47" s="78">
        <f t="shared" si="7"/>
        <v>2049.14</v>
      </c>
      <c r="L47" s="23">
        <f>2090.96*4/500</f>
        <v>16.73</v>
      </c>
    </row>
    <row r="48" spans="2:9" s="23" customFormat="1" ht="15" customHeight="1" thickBot="1">
      <c r="B48" s="84"/>
      <c r="C48" s="85"/>
      <c r="D48" s="86"/>
      <c r="E48" s="85"/>
      <c r="F48" s="76"/>
      <c r="G48" s="87"/>
      <c r="H48" s="86"/>
      <c r="I48" s="88"/>
    </row>
    <row r="49" spans="2:9" s="23" customFormat="1" ht="16.5" customHeight="1" thickTop="1">
      <c r="B49" s="94" t="s">
        <v>134</v>
      </c>
      <c r="C49" s="90" t="s">
        <v>135</v>
      </c>
      <c r="D49" s="91">
        <v>450</v>
      </c>
      <c r="E49" s="90">
        <v>4124.88</v>
      </c>
      <c r="F49" s="71">
        <f t="shared" si="2"/>
        <v>4867.36</v>
      </c>
      <c r="G49" s="92">
        <f t="shared" si="3"/>
        <v>3742.2</v>
      </c>
      <c r="H49" s="91">
        <f>G49*0.2</f>
        <v>748.44</v>
      </c>
      <c r="I49" s="93">
        <f>SUM(F49:H49)</f>
        <v>9358</v>
      </c>
    </row>
    <row r="50" spans="2:9" s="23" customFormat="1" ht="16.5" customHeight="1">
      <c r="B50" s="74" t="s">
        <v>32</v>
      </c>
      <c r="C50" s="75" t="s">
        <v>136</v>
      </c>
      <c r="D50" s="76">
        <v>420</v>
      </c>
      <c r="E50" s="75">
        <v>3105.25</v>
      </c>
      <c r="F50" s="76">
        <f t="shared" si="2"/>
        <v>3664.2</v>
      </c>
      <c r="G50" s="77">
        <f t="shared" si="3"/>
        <v>3492.72</v>
      </c>
      <c r="H50" s="76">
        <f>G50*0.2</f>
        <v>698.54</v>
      </c>
      <c r="I50" s="78">
        <f>SUM(F50:H50)</f>
        <v>7855.46</v>
      </c>
    </row>
    <row r="51" spans="2:9" s="23" customFormat="1" ht="16.5" customHeight="1">
      <c r="B51" s="74" t="s">
        <v>32</v>
      </c>
      <c r="C51" s="75" t="s">
        <v>137</v>
      </c>
      <c r="D51" s="76">
        <v>300</v>
      </c>
      <c r="E51" s="75">
        <v>2579.98</v>
      </c>
      <c r="F51" s="76">
        <f t="shared" si="2"/>
        <v>3044.38</v>
      </c>
      <c r="G51" s="77">
        <f t="shared" si="3"/>
        <v>2494.8</v>
      </c>
      <c r="H51" s="76">
        <f>G51*0.2</f>
        <v>498.96</v>
      </c>
      <c r="I51" s="78">
        <f>SUM(F51:H51)</f>
        <v>6038.14</v>
      </c>
    </row>
    <row r="52" spans="2:9" s="23" customFormat="1" ht="15.75" customHeight="1">
      <c r="B52" s="74" t="s">
        <v>32</v>
      </c>
      <c r="C52" s="75" t="s">
        <v>138</v>
      </c>
      <c r="D52" s="76">
        <v>300</v>
      </c>
      <c r="E52" s="75">
        <v>2487.29</v>
      </c>
      <c r="F52" s="76">
        <f t="shared" si="2"/>
        <v>2935</v>
      </c>
      <c r="G52" s="77">
        <f t="shared" si="3"/>
        <v>2494.8</v>
      </c>
      <c r="H52" s="76">
        <f>G52*0.2</f>
        <v>498.96</v>
      </c>
      <c r="I52" s="78">
        <f>SUM(F52:H52)</f>
        <v>5928.76</v>
      </c>
    </row>
    <row r="53" spans="2:9" s="23" customFormat="1" ht="16.5" customHeight="1">
      <c r="B53" s="74"/>
      <c r="C53" s="75"/>
      <c r="D53" s="76"/>
      <c r="E53" s="75"/>
      <c r="F53" s="76"/>
      <c r="G53" s="77"/>
      <c r="H53" s="76"/>
      <c r="I53" s="78"/>
    </row>
    <row r="54" spans="2:9" s="23" customFormat="1" ht="23.25" customHeight="1">
      <c r="B54" s="80" t="s">
        <v>58</v>
      </c>
      <c r="C54" s="75" t="s">
        <v>59</v>
      </c>
      <c r="D54" s="76">
        <v>310</v>
      </c>
      <c r="E54" s="75">
        <v>2641.78</v>
      </c>
      <c r="F54" s="76">
        <f t="shared" si="2"/>
        <v>3117.3</v>
      </c>
      <c r="G54" s="77">
        <f t="shared" si="3"/>
        <v>2577.96</v>
      </c>
      <c r="H54" s="76">
        <f>G54*0.2</f>
        <v>515.59</v>
      </c>
      <c r="I54" s="78">
        <f>SUM(F54:H54)</f>
        <v>6210.85</v>
      </c>
    </row>
    <row r="55" spans="2:9" s="23" customFormat="1" ht="16.5" customHeight="1">
      <c r="B55" s="74" t="s">
        <v>32</v>
      </c>
      <c r="C55" s="75" t="s">
        <v>139</v>
      </c>
      <c r="D55" s="76">
        <v>200</v>
      </c>
      <c r="E55" s="75">
        <v>2209.21</v>
      </c>
      <c r="F55" s="76">
        <f t="shared" si="2"/>
        <v>2606.87</v>
      </c>
      <c r="G55" s="77">
        <f t="shared" si="3"/>
        <v>1663.2</v>
      </c>
      <c r="H55" s="76">
        <f>G55*0.2</f>
        <v>332.64</v>
      </c>
      <c r="I55" s="78">
        <f>SUM(F55:H55)</f>
        <v>4602.71</v>
      </c>
    </row>
    <row r="56" spans="2:9" s="23" customFormat="1" ht="16.5" customHeight="1">
      <c r="B56" s="74" t="s">
        <v>32</v>
      </c>
      <c r="C56" s="75" t="s">
        <v>140</v>
      </c>
      <c r="D56" s="76">
        <v>300</v>
      </c>
      <c r="E56" s="75">
        <v>1328.61</v>
      </c>
      <c r="F56" s="76">
        <f t="shared" si="2"/>
        <v>1567.76</v>
      </c>
      <c r="G56" s="77">
        <f t="shared" si="3"/>
        <v>2494.8</v>
      </c>
      <c r="H56" s="76">
        <f>G56*0.2</f>
        <v>498.96</v>
      </c>
      <c r="I56" s="78">
        <f>SUM(F56:H56)</f>
        <v>4561.52</v>
      </c>
    </row>
    <row r="57" spans="2:9" s="23" customFormat="1" ht="16.5" customHeight="1">
      <c r="B57" s="74" t="s">
        <v>32</v>
      </c>
      <c r="C57" s="75" t="s">
        <v>141</v>
      </c>
      <c r="D57" s="76">
        <v>150</v>
      </c>
      <c r="E57" s="75">
        <v>1251.37</v>
      </c>
      <c r="F57" s="76">
        <f t="shared" si="2"/>
        <v>1476.62</v>
      </c>
      <c r="G57" s="77">
        <f t="shared" si="3"/>
        <v>1247.4</v>
      </c>
      <c r="H57" s="76">
        <f>G57*0.2</f>
        <v>249.48</v>
      </c>
      <c r="I57" s="78">
        <f>SUM(F57:H57)</f>
        <v>2973.5</v>
      </c>
    </row>
    <row r="58" spans="2:9" s="23" customFormat="1" ht="13.5" customHeight="1">
      <c r="B58" s="74"/>
      <c r="C58" s="75"/>
      <c r="D58" s="76"/>
      <c r="E58" s="75"/>
      <c r="F58" s="76"/>
      <c r="G58" s="77"/>
      <c r="H58" s="76"/>
      <c r="I58" s="78"/>
    </row>
    <row r="59" spans="2:9" s="23" customFormat="1" ht="16.5" customHeight="1">
      <c r="B59" s="80" t="s">
        <v>60</v>
      </c>
      <c r="C59" s="75" t="s">
        <v>61</v>
      </c>
      <c r="D59" s="76">
        <v>125</v>
      </c>
      <c r="E59" s="75">
        <v>1560.35</v>
      </c>
      <c r="F59" s="76">
        <f t="shared" si="2"/>
        <v>1841.21</v>
      </c>
      <c r="G59" s="77">
        <f t="shared" si="3"/>
        <v>1039.5</v>
      </c>
      <c r="H59" s="76">
        <f>G59*0.2</f>
        <v>207.9</v>
      </c>
      <c r="I59" s="78">
        <f>SUM(F59:H59)</f>
        <v>3088.61</v>
      </c>
    </row>
    <row r="60" spans="2:12" s="23" customFormat="1" ht="16.5" customHeight="1">
      <c r="B60" s="74" t="s">
        <v>32</v>
      </c>
      <c r="C60" s="83" t="s">
        <v>62</v>
      </c>
      <c r="D60" s="76">
        <v>125</v>
      </c>
      <c r="E60" s="75">
        <v>1483.1</v>
      </c>
      <c r="F60" s="76">
        <f t="shared" si="2"/>
        <v>1750.06</v>
      </c>
      <c r="G60" s="77">
        <f t="shared" si="3"/>
        <v>1039.5</v>
      </c>
      <c r="H60" s="76">
        <f>G60*0.2</f>
        <v>207.9</v>
      </c>
      <c r="I60" s="116">
        <f>SUM(F60:H60)</f>
        <v>2997.46</v>
      </c>
      <c r="K60" s="23">
        <f>4/0.04</f>
        <v>100</v>
      </c>
      <c r="L60" s="23" t="s">
        <v>255</v>
      </c>
    </row>
    <row r="61" spans="2:12" s="23" customFormat="1" ht="16.5" customHeight="1">
      <c r="B61" s="74" t="s">
        <v>32</v>
      </c>
      <c r="C61" s="83" t="s">
        <v>63</v>
      </c>
      <c r="D61" s="76">
        <v>120</v>
      </c>
      <c r="E61" s="75">
        <v>1483.1</v>
      </c>
      <c r="F61" s="76">
        <f t="shared" si="2"/>
        <v>1750.06</v>
      </c>
      <c r="G61" s="77">
        <f t="shared" si="3"/>
        <v>997.92</v>
      </c>
      <c r="H61" s="76">
        <f>G61*0.2</f>
        <v>199.58</v>
      </c>
      <c r="I61" s="78">
        <f>SUM(F61:H61)</f>
        <v>2947.56</v>
      </c>
      <c r="K61" s="23">
        <f>125*0.04</f>
        <v>5</v>
      </c>
      <c r="L61" s="23" t="s">
        <v>256</v>
      </c>
    </row>
    <row r="62" spans="2:12" s="23" customFormat="1" ht="16.5" customHeight="1">
      <c r="B62" s="74" t="s">
        <v>32</v>
      </c>
      <c r="C62" s="75" t="s">
        <v>64</v>
      </c>
      <c r="D62" s="76">
        <v>120</v>
      </c>
      <c r="E62" s="75">
        <v>1483.1</v>
      </c>
      <c r="F62" s="76">
        <f t="shared" si="2"/>
        <v>1750.06</v>
      </c>
      <c r="G62" s="77">
        <f t="shared" si="3"/>
        <v>997.92</v>
      </c>
      <c r="H62" s="76">
        <f>G62*0.2</f>
        <v>199.58</v>
      </c>
      <c r="I62" s="78">
        <f>SUM(F62:H62)</f>
        <v>2947.56</v>
      </c>
      <c r="K62" s="23">
        <f>65*37.9*1.16</f>
        <v>2857.66</v>
      </c>
      <c r="L62" s="23" t="s">
        <v>257</v>
      </c>
    </row>
    <row r="63" spans="2:9" s="23" customFormat="1" ht="13.5" customHeight="1">
      <c r="B63" s="74"/>
      <c r="C63" s="75"/>
      <c r="D63" s="76"/>
      <c r="E63" s="75"/>
      <c r="F63" s="76"/>
      <c r="G63" s="77"/>
      <c r="H63" s="76"/>
      <c r="I63" s="78"/>
    </row>
    <row r="64" spans="2:9" s="23" customFormat="1" ht="16.5" customHeight="1">
      <c r="B64" s="80" t="s">
        <v>142</v>
      </c>
      <c r="C64" s="75" t="s">
        <v>143</v>
      </c>
      <c r="D64" s="76">
        <v>375</v>
      </c>
      <c r="E64" s="75">
        <v>3800.45</v>
      </c>
      <c r="F64" s="76">
        <f t="shared" si="2"/>
        <v>4484.53</v>
      </c>
      <c r="G64" s="77">
        <f t="shared" si="3"/>
        <v>3118.5</v>
      </c>
      <c r="H64" s="76">
        <f aca="true" t="shared" si="8" ref="H64:H71">G64*0.2</f>
        <v>623.7</v>
      </c>
      <c r="I64" s="78">
        <f aca="true" t="shared" si="9" ref="I64:I71">SUM(F64:H64)</f>
        <v>8226.73</v>
      </c>
    </row>
    <row r="65" spans="2:9" s="23" customFormat="1" ht="16.5" customHeight="1">
      <c r="B65" s="74" t="s">
        <v>32</v>
      </c>
      <c r="C65" s="75" t="s">
        <v>144</v>
      </c>
      <c r="D65" s="76">
        <v>270</v>
      </c>
      <c r="E65" s="75">
        <v>2966.21</v>
      </c>
      <c r="F65" s="76">
        <f t="shared" si="2"/>
        <v>3500.13</v>
      </c>
      <c r="G65" s="77">
        <f t="shared" si="3"/>
        <v>2245.32</v>
      </c>
      <c r="H65" s="76">
        <f t="shared" si="8"/>
        <v>449.06</v>
      </c>
      <c r="I65" s="78">
        <f t="shared" si="9"/>
        <v>6194.51</v>
      </c>
    </row>
    <row r="66" spans="2:9" s="23" customFormat="1" ht="16.5" customHeight="1">
      <c r="B66" s="74" t="s">
        <v>32</v>
      </c>
      <c r="C66" s="75" t="s">
        <v>145</v>
      </c>
      <c r="D66" s="76">
        <v>235</v>
      </c>
      <c r="E66" s="75">
        <v>2827.17</v>
      </c>
      <c r="F66" s="76">
        <f t="shared" si="2"/>
        <v>3336.06</v>
      </c>
      <c r="G66" s="77">
        <f t="shared" si="3"/>
        <v>1954.26</v>
      </c>
      <c r="H66" s="76">
        <f t="shared" si="8"/>
        <v>390.85</v>
      </c>
      <c r="I66" s="78">
        <f t="shared" si="9"/>
        <v>5681.17</v>
      </c>
    </row>
    <row r="67" spans="2:9" s="23" customFormat="1" ht="16.5" customHeight="1">
      <c r="B67" s="74" t="s">
        <v>32</v>
      </c>
      <c r="C67" s="75" t="s">
        <v>65</v>
      </c>
      <c r="D67" s="76">
        <v>235</v>
      </c>
      <c r="E67" s="75">
        <v>2827.17</v>
      </c>
      <c r="F67" s="76">
        <f t="shared" si="2"/>
        <v>3336.06</v>
      </c>
      <c r="G67" s="77">
        <f t="shared" si="3"/>
        <v>1954.26</v>
      </c>
      <c r="H67" s="76">
        <f t="shared" si="8"/>
        <v>390.85</v>
      </c>
      <c r="I67" s="78">
        <f t="shared" si="9"/>
        <v>5681.17</v>
      </c>
    </row>
    <row r="68" spans="2:9" s="23" customFormat="1" ht="16.5" customHeight="1">
      <c r="B68" s="74" t="s">
        <v>32</v>
      </c>
      <c r="C68" s="75" t="s">
        <v>66</v>
      </c>
      <c r="D68" s="76">
        <v>220</v>
      </c>
      <c r="E68" s="75">
        <v>2600</v>
      </c>
      <c r="F68" s="76">
        <f t="shared" si="2"/>
        <v>3068</v>
      </c>
      <c r="G68" s="77">
        <f t="shared" si="3"/>
        <v>1829.52</v>
      </c>
      <c r="H68" s="76">
        <f t="shared" si="8"/>
        <v>365.9</v>
      </c>
      <c r="I68" s="78">
        <f t="shared" si="9"/>
        <v>5263.42</v>
      </c>
    </row>
    <row r="69" spans="2:9" s="23" customFormat="1" ht="16.5" customHeight="1">
      <c r="B69" s="74" t="s">
        <v>32</v>
      </c>
      <c r="C69" s="75" t="s">
        <v>67</v>
      </c>
      <c r="D69" s="76">
        <v>200</v>
      </c>
      <c r="E69" s="75">
        <v>2500</v>
      </c>
      <c r="F69" s="76">
        <f t="shared" si="2"/>
        <v>2950</v>
      </c>
      <c r="G69" s="77">
        <f t="shared" si="3"/>
        <v>1663.2</v>
      </c>
      <c r="H69" s="76">
        <f t="shared" si="8"/>
        <v>332.64</v>
      </c>
      <c r="I69" s="78">
        <f t="shared" si="9"/>
        <v>4945.84</v>
      </c>
    </row>
    <row r="70" spans="2:9" s="23" customFormat="1" ht="16.5" customHeight="1">
      <c r="B70" s="74" t="s">
        <v>32</v>
      </c>
      <c r="C70" s="75" t="s">
        <v>68</v>
      </c>
      <c r="D70" s="76">
        <v>200</v>
      </c>
      <c r="E70" s="75">
        <v>2564.53</v>
      </c>
      <c r="F70" s="76">
        <f t="shared" si="2"/>
        <v>3026.15</v>
      </c>
      <c r="G70" s="77">
        <f t="shared" si="3"/>
        <v>1663.2</v>
      </c>
      <c r="H70" s="76">
        <f t="shared" si="8"/>
        <v>332.64</v>
      </c>
      <c r="I70" s="78">
        <f t="shared" si="9"/>
        <v>5021.99</v>
      </c>
    </row>
    <row r="71" spans="2:9" s="23" customFormat="1" ht="16.5" customHeight="1">
      <c r="B71" s="74" t="s">
        <v>32</v>
      </c>
      <c r="C71" s="75" t="s">
        <v>146</v>
      </c>
      <c r="D71" s="76">
        <v>170</v>
      </c>
      <c r="E71" s="75">
        <v>2240.11</v>
      </c>
      <c r="F71" s="76">
        <f t="shared" si="2"/>
        <v>2643.33</v>
      </c>
      <c r="G71" s="77">
        <f t="shared" si="3"/>
        <v>1413.72</v>
      </c>
      <c r="H71" s="76">
        <f t="shared" si="8"/>
        <v>282.74</v>
      </c>
      <c r="I71" s="78">
        <f t="shared" si="9"/>
        <v>4339.79</v>
      </c>
    </row>
    <row r="72" spans="2:9" s="23" customFormat="1" ht="16.5" customHeight="1" thickBot="1">
      <c r="B72" s="84"/>
      <c r="C72" s="85"/>
      <c r="D72" s="86"/>
      <c r="E72" s="85"/>
      <c r="F72" s="76"/>
      <c r="G72" s="87"/>
      <c r="H72" s="86"/>
      <c r="I72" s="88"/>
    </row>
    <row r="73" spans="2:9" s="23" customFormat="1" ht="16.5" customHeight="1" thickTop="1">
      <c r="B73" s="80" t="s">
        <v>147</v>
      </c>
      <c r="C73" s="75" t="s">
        <v>148</v>
      </c>
      <c r="D73" s="76">
        <v>168</v>
      </c>
      <c r="E73" s="75">
        <v>1992.92</v>
      </c>
      <c r="F73" s="71">
        <f t="shared" si="2"/>
        <v>2351.65</v>
      </c>
      <c r="G73" s="77">
        <f t="shared" si="3"/>
        <v>1397.09</v>
      </c>
      <c r="H73" s="76">
        <f aca="true" t="shared" si="10" ref="H73:H82">G73*0.2</f>
        <v>279.42</v>
      </c>
      <c r="I73" s="78">
        <f aca="true" t="shared" si="11" ref="I73:I82">SUM(F73:H73)</f>
        <v>4028.16</v>
      </c>
    </row>
    <row r="74" spans="2:9" s="23" customFormat="1" ht="16.5" customHeight="1">
      <c r="B74" s="74" t="s">
        <v>32</v>
      </c>
      <c r="C74" s="75" t="s">
        <v>149</v>
      </c>
      <c r="D74" s="76">
        <v>160</v>
      </c>
      <c r="E74" s="75">
        <v>1977.47</v>
      </c>
      <c r="F74" s="76">
        <f t="shared" si="2"/>
        <v>2333.41</v>
      </c>
      <c r="G74" s="77">
        <f t="shared" si="3"/>
        <v>1330.56</v>
      </c>
      <c r="H74" s="76">
        <f t="shared" si="10"/>
        <v>266.11</v>
      </c>
      <c r="I74" s="78">
        <f t="shared" si="11"/>
        <v>3930.08</v>
      </c>
    </row>
    <row r="75" spans="2:9" s="23" customFormat="1" ht="16.5" customHeight="1">
      <c r="B75" s="74" t="s">
        <v>32</v>
      </c>
      <c r="C75" s="75" t="s">
        <v>150</v>
      </c>
      <c r="D75" s="76">
        <v>155</v>
      </c>
      <c r="E75" s="75">
        <v>1884.78</v>
      </c>
      <c r="F75" s="76">
        <f t="shared" si="2"/>
        <v>2224.04</v>
      </c>
      <c r="G75" s="77">
        <f aca="true" t="shared" si="12" ref="G75:G87">D75*0.04*$C$4</f>
        <v>1288.98</v>
      </c>
      <c r="H75" s="76">
        <f t="shared" si="10"/>
        <v>257.8</v>
      </c>
      <c r="I75" s="78">
        <f t="shared" si="11"/>
        <v>3770.82</v>
      </c>
    </row>
    <row r="76" spans="2:9" s="23" customFormat="1" ht="16.5" customHeight="1">
      <c r="B76" s="74" t="s">
        <v>32</v>
      </c>
      <c r="C76" s="75" t="s">
        <v>69</v>
      </c>
      <c r="D76" s="76">
        <v>135</v>
      </c>
      <c r="E76" s="75">
        <v>1725.25</v>
      </c>
      <c r="F76" s="76">
        <f aca="true" t="shared" si="13" ref="F76:F87">E76*1.18</f>
        <v>2035.8</v>
      </c>
      <c r="G76" s="77">
        <f t="shared" si="12"/>
        <v>1122.66</v>
      </c>
      <c r="H76" s="76">
        <f t="shared" si="10"/>
        <v>224.53</v>
      </c>
      <c r="I76" s="78">
        <f t="shared" si="11"/>
        <v>3382.99</v>
      </c>
    </row>
    <row r="77" spans="2:9" s="23" customFormat="1" ht="16.5" customHeight="1">
      <c r="B77" s="74" t="s">
        <v>32</v>
      </c>
      <c r="C77" s="75" t="s">
        <v>151</v>
      </c>
      <c r="D77" s="76">
        <v>130</v>
      </c>
      <c r="E77" s="75">
        <v>1637.59</v>
      </c>
      <c r="F77" s="76">
        <f t="shared" si="13"/>
        <v>1932.36</v>
      </c>
      <c r="G77" s="77">
        <f t="shared" si="12"/>
        <v>1081.08</v>
      </c>
      <c r="H77" s="76">
        <f t="shared" si="10"/>
        <v>216.22</v>
      </c>
      <c r="I77" s="78">
        <f t="shared" si="11"/>
        <v>3229.66</v>
      </c>
    </row>
    <row r="78" spans="2:9" s="23" customFormat="1" ht="16.5" customHeight="1">
      <c r="B78" s="74" t="s">
        <v>32</v>
      </c>
      <c r="C78" s="75" t="s">
        <v>152</v>
      </c>
      <c r="D78" s="76">
        <v>105</v>
      </c>
      <c r="E78" s="75">
        <v>1498.55</v>
      </c>
      <c r="F78" s="76">
        <f t="shared" si="13"/>
        <v>1768.29</v>
      </c>
      <c r="G78" s="77">
        <f t="shared" si="12"/>
        <v>873.18</v>
      </c>
      <c r="H78" s="76">
        <f t="shared" si="10"/>
        <v>174.64</v>
      </c>
      <c r="I78" s="78">
        <f t="shared" si="11"/>
        <v>2816.11</v>
      </c>
    </row>
    <row r="79" spans="2:9" s="23" customFormat="1" ht="16.5" customHeight="1">
      <c r="B79" s="74" t="s">
        <v>32</v>
      </c>
      <c r="C79" s="75" t="s">
        <v>153</v>
      </c>
      <c r="D79" s="76">
        <v>100</v>
      </c>
      <c r="E79" s="75">
        <v>1390.41</v>
      </c>
      <c r="F79" s="76">
        <f t="shared" si="13"/>
        <v>1640.68</v>
      </c>
      <c r="G79" s="77">
        <f t="shared" si="12"/>
        <v>831.6</v>
      </c>
      <c r="H79" s="76">
        <f t="shared" si="10"/>
        <v>166.32</v>
      </c>
      <c r="I79" s="78">
        <f t="shared" si="11"/>
        <v>2638.6</v>
      </c>
    </row>
    <row r="80" spans="2:9" s="23" customFormat="1" ht="16.5" customHeight="1">
      <c r="B80" s="74" t="s">
        <v>32</v>
      </c>
      <c r="C80" s="75" t="s">
        <v>70</v>
      </c>
      <c r="D80" s="76">
        <v>85</v>
      </c>
      <c r="E80" s="75">
        <v>1235.92</v>
      </c>
      <c r="F80" s="76">
        <f t="shared" si="13"/>
        <v>1458.39</v>
      </c>
      <c r="G80" s="77">
        <f t="shared" si="12"/>
        <v>706.86</v>
      </c>
      <c r="H80" s="76">
        <f t="shared" si="10"/>
        <v>141.37</v>
      </c>
      <c r="I80" s="78">
        <f t="shared" si="11"/>
        <v>2306.62</v>
      </c>
    </row>
    <row r="81" spans="2:9" s="23" customFormat="1" ht="16.5" customHeight="1">
      <c r="B81" s="74" t="s">
        <v>32</v>
      </c>
      <c r="C81" s="75" t="s">
        <v>154</v>
      </c>
      <c r="D81" s="76">
        <v>80</v>
      </c>
      <c r="E81" s="75">
        <v>1220.47</v>
      </c>
      <c r="F81" s="76">
        <f t="shared" si="13"/>
        <v>1440.15</v>
      </c>
      <c r="G81" s="77">
        <f t="shared" si="12"/>
        <v>665.28</v>
      </c>
      <c r="H81" s="76">
        <f t="shared" si="10"/>
        <v>133.06</v>
      </c>
      <c r="I81" s="78">
        <f t="shared" si="11"/>
        <v>2238.49</v>
      </c>
    </row>
    <row r="82" spans="2:9" s="23" customFormat="1" ht="16.5" customHeight="1">
      <c r="B82" s="74"/>
      <c r="C82" s="83" t="s">
        <v>71</v>
      </c>
      <c r="D82" s="76">
        <v>54</v>
      </c>
      <c r="E82" s="75">
        <v>700</v>
      </c>
      <c r="F82" s="76">
        <f t="shared" si="13"/>
        <v>826</v>
      </c>
      <c r="G82" s="77">
        <f t="shared" si="12"/>
        <v>449.06</v>
      </c>
      <c r="H82" s="76">
        <f t="shared" si="10"/>
        <v>89.81</v>
      </c>
      <c r="I82" s="78">
        <f t="shared" si="11"/>
        <v>1364.87</v>
      </c>
    </row>
    <row r="83" spans="2:9" s="23" customFormat="1" ht="10.5" customHeight="1">
      <c r="B83" s="74"/>
      <c r="C83" s="75"/>
      <c r="D83" s="76"/>
      <c r="E83" s="75"/>
      <c r="F83" s="76"/>
      <c r="G83" s="77"/>
      <c r="H83" s="76"/>
      <c r="I83" s="78"/>
    </row>
    <row r="84" spans="2:9" s="23" customFormat="1" ht="16.5" customHeight="1">
      <c r="B84" s="80" t="s">
        <v>155</v>
      </c>
      <c r="C84" s="75" t="s">
        <v>156</v>
      </c>
      <c r="D84" s="76">
        <v>200</v>
      </c>
      <c r="E84" s="75">
        <v>2085.62</v>
      </c>
      <c r="F84" s="76">
        <f t="shared" si="13"/>
        <v>2461.03</v>
      </c>
      <c r="G84" s="77">
        <f t="shared" si="12"/>
        <v>1663.2</v>
      </c>
      <c r="H84" s="76">
        <f>G84*0.2</f>
        <v>332.64</v>
      </c>
      <c r="I84" s="78">
        <f>SUM(F84:H84)</f>
        <v>4456.87</v>
      </c>
    </row>
    <row r="85" spans="2:9" s="23" customFormat="1" ht="16.5" customHeight="1">
      <c r="B85" s="74" t="s">
        <v>32</v>
      </c>
      <c r="C85" s="75" t="s">
        <v>157</v>
      </c>
      <c r="D85" s="76">
        <v>190</v>
      </c>
      <c r="E85" s="75">
        <v>2023.82</v>
      </c>
      <c r="F85" s="76">
        <f t="shared" si="13"/>
        <v>2388.11</v>
      </c>
      <c r="G85" s="77">
        <f t="shared" si="12"/>
        <v>1580.04</v>
      </c>
      <c r="H85" s="76">
        <f>G85*0.2</f>
        <v>316.01</v>
      </c>
      <c r="I85" s="78">
        <f>SUM(F85:H85)</f>
        <v>4284.16</v>
      </c>
    </row>
    <row r="86" spans="2:9" s="23" customFormat="1" ht="16.5" customHeight="1">
      <c r="B86" s="74" t="s">
        <v>32</v>
      </c>
      <c r="C86" s="75" t="s">
        <v>158</v>
      </c>
      <c r="D86" s="76">
        <v>130</v>
      </c>
      <c r="E86" s="75">
        <v>1699.39</v>
      </c>
      <c r="F86" s="76">
        <f t="shared" si="13"/>
        <v>2005.28</v>
      </c>
      <c r="G86" s="77">
        <f t="shared" si="12"/>
        <v>1081.08</v>
      </c>
      <c r="H86" s="76">
        <f>G86*0.2</f>
        <v>216.22</v>
      </c>
      <c r="I86" s="78">
        <f>SUM(F86:H86)</f>
        <v>3302.58</v>
      </c>
    </row>
    <row r="87" spans="2:9" s="23" customFormat="1" ht="16.5" customHeight="1">
      <c r="B87" s="74" t="s">
        <v>32</v>
      </c>
      <c r="C87" s="75" t="s">
        <v>159</v>
      </c>
      <c r="D87" s="76">
        <v>115</v>
      </c>
      <c r="E87" s="75">
        <v>1405.86</v>
      </c>
      <c r="F87" s="76">
        <f t="shared" si="13"/>
        <v>1658.91</v>
      </c>
      <c r="G87" s="77">
        <f t="shared" si="12"/>
        <v>956.34</v>
      </c>
      <c r="H87" s="76">
        <f>G87*0.2</f>
        <v>191.27</v>
      </c>
      <c r="I87" s="78">
        <f>SUM(F87:H87)</f>
        <v>2806.52</v>
      </c>
    </row>
    <row r="88" spans="2:9" s="24" customFormat="1" ht="16.5" customHeight="1" thickBot="1">
      <c r="B88" s="84"/>
      <c r="C88" s="85"/>
      <c r="D88" s="86"/>
      <c r="E88" s="85"/>
      <c r="F88" s="86"/>
      <c r="G88" s="87"/>
      <c r="H88" s="86"/>
      <c r="I88" s="88"/>
    </row>
    <row r="89" spans="2:9" s="23" customFormat="1" ht="22.5" customHeight="1" thickBot="1">
      <c r="B89" s="60" t="s">
        <v>196</v>
      </c>
      <c r="C89" s="61"/>
      <c r="D89" s="61"/>
      <c r="E89" s="61"/>
      <c r="F89" s="62"/>
      <c r="G89" s="61"/>
      <c r="H89" s="61"/>
      <c r="I89" s="63">
        <f>30000+30000</f>
        <v>60000</v>
      </c>
    </row>
    <row r="90" spans="2:9" s="23" customFormat="1" ht="22.5" customHeight="1">
      <c r="B90" s="24"/>
      <c r="C90" s="24"/>
      <c r="D90" s="24"/>
      <c r="E90" s="24"/>
      <c r="F90" s="46"/>
      <c r="G90" s="24"/>
      <c r="H90" s="24"/>
      <c r="I90" s="24"/>
    </row>
    <row r="91" spans="2:9" s="23" customFormat="1" ht="22.5" customHeight="1">
      <c r="B91" s="64" t="s">
        <v>192</v>
      </c>
      <c r="C91" s="64"/>
      <c r="D91" s="64"/>
      <c r="E91" s="64"/>
      <c r="F91" s="50"/>
      <c r="G91" s="50"/>
      <c r="H91" s="50"/>
      <c r="I91" s="50"/>
    </row>
    <row r="92" spans="2:9" s="16" customFormat="1" ht="22.5" customHeight="1">
      <c r="B92" s="17"/>
      <c r="C92" s="17"/>
      <c r="D92" s="17"/>
      <c r="E92" s="17"/>
      <c r="F92" s="18"/>
      <c r="G92" s="17"/>
      <c r="H92" s="17"/>
      <c r="I92" s="17"/>
    </row>
    <row r="93" spans="2:9" s="16" customFormat="1" ht="22.5" customHeight="1">
      <c r="B93" s="17"/>
      <c r="C93" s="17"/>
      <c r="D93" s="17"/>
      <c r="E93" s="17"/>
      <c r="F93" s="18"/>
      <c r="G93" s="17"/>
      <c r="H93" s="17"/>
      <c r="I93" s="17"/>
    </row>
    <row r="94" spans="2:9" s="16" customFormat="1" ht="22.5" customHeight="1">
      <c r="B94" s="17"/>
      <c r="C94" s="17"/>
      <c r="D94" s="17"/>
      <c r="E94" s="17"/>
      <c r="F94" s="18"/>
      <c r="G94" s="17"/>
      <c r="H94" s="17"/>
      <c r="I94" s="17"/>
    </row>
    <row r="95" spans="2:9" s="16" customFormat="1" ht="22.5" customHeight="1">
      <c r="B95" s="17"/>
      <c r="C95" s="17"/>
      <c r="D95" s="17"/>
      <c r="E95" s="17"/>
      <c r="F95" s="18"/>
      <c r="G95" s="17"/>
      <c r="H95" s="17"/>
      <c r="I95" s="17"/>
    </row>
    <row r="96" spans="2:9" s="16" customFormat="1" ht="22.5" customHeight="1">
      <c r="B96" s="17"/>
      <c r="C96" s="17"/>
      <c r="D96" s="17"/>
      <c r="E96" s="17"/>
      <c r="F96" s="18"/>
      <c r="G96" s="17"/>
      <c r="H96" s="17"/>
      <c r="I96" s="17"/>
    </row>
    <row r="97" spans="2:9" s="16" customFormat="1" ht="22.5" customHeight="1">
      <c r="B97" s="17"/>
      <c r="C97" s="17"/>
      <c r="D97" s="17"/>
      <c r="E97" s="17"/>
      <c r="F97" s="18"/>
      <c r="G97" s="17"/>
      <c r="H97" s="17"/>
      <c r="I97" s="17"/>
    </row>
    <row r="98" spans="2:9" s="16" customFormat="1" ht="22.5" customHeight="1">
      <c r="B98" s="17"/>
      <c r="C98" s="17"/>
      <c r="D98" s="17"/>
      <c r="E98" s="17"/>
      <c r="F98" s="18"/>
      <c r="G98" s="17"/>
      <c r="H98" s="17"/>
      <c r="I98" s="17"/>
    </row>
    <row r="99" spans="2:9" s="16" customFormat="1" ht="22.5" customHeight="1">
      <c r="B99" s="17"/>
      <c r="C99" s="17"/>
      <c r="D99" s="17"/>
      <c r="E99" s="17"/>
      <c r="F99" s="18"/>
      <c r="G99" s="17"/>
      <c r="H99" s="17"/>
      <c r="I99" s="17"/>
    </row>
    <row r="100" spans="2:9" s="16" customFormat="1" ht="22.5" customHeight="1">
      <c r="B100" s="17"/>
      <c r="C100" s="17"/>
      <c r="D100" s="17"/>
      <c r="E100" s="17"/>
      <c r="F100" s="18"/>
      <c r="G100" s="17"/>
      <c r="H100" s="17"/>
      <c r="I100" s="17"/>
    </row>
    <row r="101" spans="2:9" s="16" customFormat="1" ht="22.5" customHeight="1">
      <c r="B101" s="17"/>
      <c r="C101" s="17"/>
      <c r="D101" s="17"/>
      <c r="E101" s="17"/>
      <c r="F101" s="18"/>
      <c r="G101" s="17"/>
      <c r="H101" s="17"/>
      <c r="I101" s="17"/>
    </row>
    <row r="102" spans="2:9" s="16" customFormat="1" ht="22.5" customHeight="1">
      <c r="B102" s="17"/>
      <c r="C102" s="17"/>
      <c r="D102" s="17"/>
      <c r="E102" s="17"/>
      <c r="F102" s="18"/>
      <c r="G102" s="17"/>
      <c r="H102" s="17"/>
      <c r="I102" s="17"/>
    </row>
    <row r="103" spans="2:9" s="16" customFormat="1" ht="22.5" customHeight="1">
      <c r="B103" s="17"/>
      <c r="C103" s="17"/>
      <c r="D103" s="17"/>
      <c r="E103" s="17"/>
      <c r="F103" s="18"/>
      <c r="G103" s="17"/>
      <c r="H103" s="17"/>
      <c r="I103" s="17"/>
    </row>
    <row r="104" spans="2:9" s="16" customFormat="1" ht="22.5" customHeight="1">
      <c r="B104" s="17"/>
      <c r="C104" s="17"/>
      <c r="D104" s="17"/>
      <c r="E104" s="17"/>
      <c r="F104" s="18"/>
      <c r="G104" s="17"/>
      <c r="H104" s="17"/>
      <c r="I104" s="17"/>
    </row>
    <row r="105" spans="2:9" s="16" customFormat="1" ht="22.5" customHeight="1">
      <c r="B105" s="17"/>
      <c r="C105" s="17"/>
      <c r="D105" s="17"/>
      <c r="E105" s="17"/>
      <c r="F105" s="18"/>
      <c r="G105" s="17"/>
      <c r="H105" s="17"/>
      <c r="I105" s="17"/>
    </row>
    <row r="106" spans="2:9" s="16" customFormat="1" ht="22.5" customHeight="1">
      <c r="B106" s="17"/>
      <c r="C106" s="17"/>
      <c r="D106" s="17"/>
      <c r="E106" s="17"/>
      <c r="F106" s="18"/>
      <c r="G106" s="17"/>
      <c r="H106" s="17"/>
      <c r="I106" s="17"/>
    </row>
    <row r="107" spans="2:9" s="16" customFormat="1" ht="22.5" customHeight="1">
      <c r="B107" s="17"/>
      <c r="C107" s="17"/>
      <c r="D107" s="17"/>
      <c r="E107" s="17"/>
      <c r="F107" s="18"/>
      <c r="G107" s="17"/>
      <c r="H107" s="17"/>
      <c r="I107" s="17"/>
    </row>
    <row r="108" spans="2:9" s="16" customFormat="1" ht="22.5" customHeight="1">
      <c r="B108" s="17"/>
      <c r="C108" s="17"/>
      <c r="D108" s="17"/>
      <c r="E108" s="17"/>
      <c r="F108" s="18"/>
      <c r="G108" s="17"/>
      <c r="H108" s="17"/>
      <c r="I108" s="17"/>
    </row>
    <row r="109" spans="2:9" s="16" customFormat="1" ht="22.5" customHeight="1">
      <c r="B109" s="17"/>
      <c r="C109" s="17"/>
      <c r="D109" s="17"/>
      <c r="E109" s="17"/>
      <c r="F109" s="18"/>
      <c r="G109" s="17"/>
      <c r="H109" s="17"/>
      <c r="I109" s="17"/>
    </row>
    <row r="110" spans="2:9" s="16" customFormat="1" ht="22.5" customHeight="1">
      <c r="B110" s="17"/>
      <c r="C110" s="17"/>
      <c r="D110" s="17"/>
      <c r="E110" s="17"/>
      <c r="F110" s="18"/>
      <c r="G110" s="17"/>
      <c r="H110" s="17"/>
      <c r="I110" s="17"/>
    </row>
    <row r="111" spans="2:9" s="16" customFormat="1" ht="22.5" customHeight="1">
      <c r="B111" s="17"/>
      <c r="C111" s="17"/>
      <c r="D111" s="17"/>
      <c r="E111" s="17"/>
      <c r="F111" s="18"/>
      <c r="G111" s="17"/>
      <c r="H111" s="17"/>
      <c r="I111" s="17"/>
    </row>
    <row r="112" spans="2:9" s="16" customFormat="1" ht="22.5" customHeight="1">
      <c r="B112" s="17"/>
      <c r="C112" s="17"/>
      <c r="D112" s="17"/>
      <c r="E112" s="17"/>
      <c r="F112" s="18"/>
      <c r="G112" s="17"/>
      <c r="H112" s="17"/>
      <c r="I112" s="17"/>
    </row>
    <row r="113" spans="2:9" s="16" customFormat="1" ht="22.5" customHeight="1">
      <c r="B113" s="17"/>
      <c r="C113" s="17"/>
      <c r="D113" s="17"/>
      <c r="E113" s="17"/>
      <c r="F113" s="18"/>
      <c r="G113" s="17"/>
      <c r="H113" s="17"/>
      <c r="I113" s="17"/>
    </row>
    <row r="114" spans="2:9" s="16" customFormat="1" ht="22.5" customHeight="1">
      <c r="B114" s="17"/>
      <c r="C114" s="17"/>
      <c r="D114" s="17"/>
      <c r="E114" s="17"/>
      <c r="F114" s="18"/>
      <c r="G114" s="17"/>
      <c r="H114" s="17"/>
      <c r="I114" s="17"/>
    </row>
    <row r="115" spans="2:9" s="16" customFormat="1" ht="22.5" customHeight="1">
      <c r="B115" s="17"/>
      <c r="C115" s="17"/>
      <c r="D115" s="17"/>
      <c r="E115" s="17"/>
      <c r="F115" s="18"/>
      <c r="G115" s="17"/>
      <c r="H115" s="17"/>
      <c r="I115" s="17"/>
    </row>
    <row r="116" spans="2:9" s="16" customFormat="1" ht="22.5" customHeight="1">
      <c r="B116" s="17"/>
      <c r="C116" s="17"/>
      <c r="D116" s="17"/>
      <c r="E116" s="17"/>
      <c r="F116" s="18"/>
      <c r="G116" s="17"/>
      <c r="H116" s="17"/>
      <c r="I116" s="17"/>
    </row>
    <row r="117" spans="2:9" s="16" customFormat="1" ht="22.5" customHeight="1">
      <c r="B117" s="17"/>
      <c r="C117" s="17"/>
      <c r="D117" s="17"/>
      <c r="E117" s="17"/>
      <c r="F117" s="18"/>
      <c r="G117" s="17"/>
      <c r="H117" s="17"/>
      <c r="I117" s="17"/>
    </row>
    <row r="118" spans="2:9" s="16" customFormat="1" ht="22.5" customHeight="1">
      <c r="B118" s="17"/>
      <c r="C118" s="17"/>
      <c r="D118" s="17"/>
      <c r="E118" s="17"/>
      <c r="F118" s="18"/>
      <c r="G118" s="17"/>
      <c r="H118" s="17"/>
      <c r="I118" s="17"/>
    </row>
    <row r="119" spans="2:8" s="16" customFormat="1" ht="22.5" customHeight="1">
      <c r="B119" s="17"/>
      <c r="C119" s="17"/>
      <c r="D119" s="17"/>
      <c r="E119" s="17"/>
      <c r="F119" s="18"/>
      <c r="G119" s="17"/>
      <c r="H119" s="17"/>
    </row>
    <row r="120" spans="2:8" s="16" customFormat="1" ht="22.5" customHeight="1">
      <c r="B120" s="17"/>
      <c r="C120" s="17"/>
      <c r="D120" s="17"/>
      <c r="E120" s="17"/>
      <c r="F120" s="18"/>
      <c r="G120" s="17"/>
      <c r="H120" s="17"/>
    </row>
    <row r="121" spans="2:8" s="16" customFormat="1" ht="22.5" customHeight="1">
      <c r="B121" s="17"/>
      <c r="C121" s="17"/>
      <c r="D121" s="17"/>
      <c r="E121" s="17"/>
      <c r="F121" s="18"/>
      <c r="G121" s="17"/>
      <c r="H121" s="17"/>
    </row>
    <row r="122" spans="2:8" s="16" customFormat="1" ht="22.5" customHeight="1">
      <c r="B122" s="17"/>
      <c r="C122" s="17"/>
      <c r="D122" s="17"/>
      <c r="E122" s="17"/>
      <c r="F122" s="18"/>
      <c r="G122" s="17"/>
      <c r="H122" s="17"/>
    </row>
    <row r="123" spans="2:8" s="16" customFormat="1" ht="22.5" customHeight="1">
      <c r="B123" s="17"/>
      <c r="C123" s="17"/>
      <c r="D123" s="17"/>
      <c r="E123" s="17"/>
      <c r="F123" s="18"/>
      <c r="G123" s="17"/>
      <c r="H123" s="17"/>
    </row>
    <row r="124" spans="2:8" s="16" customFormat="1" ht="22.5" customHeight="1">
      <c r="B124" s="17"/>
      <c r="C124" s="17"/>
      <c r="D124" s="17"/>
      <c r="E124" s="17"/>
      <c r="F124" s="18"/>
      <c r="G124" s="17"/>
      <c r="H124" s="17"/>
    </row>
    <row r="125" spans="2:8" s="16" customFormat="1" ht="22.5" customHeight="1">
      <c r="B125" s="17"/>
      <c r="C125" s="17"/>
      <c r="D125" s="17"/>
      <c r="E125" s="17"/>
      <c r="F125" s="18"/>
      <c r="G125" s="17"/>
      <c r="H125" s="17"/>
    </row>
    <row r="126" spans="2:8" s="16" customFormat="1" ht="22.5" customHeight="1">
      <c r="B126" s="17"/>
      <c r="C126" s="17"/>
      <c r="D126" s="17"/>
      <c r="E126" s="17"/>
      <c r="F126" s="18"/>
      <c r="G126" s="17"/>
      <c r="H126" s="17"/>
    </row>
    <row r="127" spans="2:8" s="16" customFormat="1" ht="22.5" customHeight="1">
      <c r="B127" s="17"/>
      <c r="C127" s="17"/>
      <c r="D127" s="17"/>
      <c r="E127" s="17"/>
      <c r="F127" s="18"/>
      <c r="G127" s="17"/>
      <c r="H127" s="17"/>
    </row>
    <row r="128" spans="2:8" s="16" customFormat="1" ht="22.5" customHeight="1">
      <c r="B128" s="17"/>
      <c r="C128" s="17"/>
      <c r="D128" s="17"/>
      <c r="E128" s="17"/>
      <c r="F128" s="18"/>
      <c r="G128" s="17"/>
      <c r="H128" s="17"/>
    </row>
    <row r="129" spans="2:8" s="16" customFormat="1" ht="22.5" customHeight="1">
      <c r="B129" s="17"/>
      <c r="C129" s="17"/>
      <c r="D129" s="17"/>
      <c r="E129" s="17"/>
      <c r="F129" s="18"/>
      <c r="G129" s="17"/>
      <c r="H129" s="17"/>
    </row>
    <row r="130" spans="2:8" s="16" customFormat="1" ht="22.5" customHeight="1">
      <c r="B130" s="17"/>
      <c r="C130" s="17"/>
      <c r="D130" s="17"/>
      <c r="E130" s="17"/>
      <c r="F130" s="18"/>
      <c r="G130" s="17"/>
      <c r="H130" s="17"/>
    </row>
    <row r="131" spans="2:8" s="16" customFormat="1" ht="22.5" customHeight="1">
      <c r="B131" s="17"/>
      <c r="C131" s="17"/>
      <c r="D131" s="17"/>
      <c r="E131" s="17"/>
      <c r="F131" s="18"/>
      <c r="G131" s="17"/>
      <c r="H131" s="17"/>
    </row>
    <row r="132" spans="2:8" s="16" customFormat="1" ht="22.5" customHeight="1">
      <c r="B132" s="17"/>
      <c r="C132" s="17"/>
      <c r="D132" s="17"/>
      <c r="E132" s="17"/>
      <c r="F132" s="18"/>
      <c r="G132" s="17"/>
      <c r="H132" s="17"/>
    </row>
    <row r="133" spans="2:8" s="16" customFormat="1" ht="22.5" customHeight="1">
      <c r="B133" s="17"/>
      <c r="C133" s="17"/>
      <c r="D133" s="17"/>
      <c r="E133" s="17"/>
      <c r="F133" s="18"/>
      <c r="G133" s="17"/>
      <c r="H133" s="17"/>
    </row>
    <row r="134" spans="2:8" s="16" customFormat="1" ht="22.5" customHeight="1">
      <c r="B134" s="17"/>
      <c r="C134" s="17"/>
      <c r="D134" s="17"/>
      <c r="E134" s="17"/>
      <c r="F134" s="18"/>
      <c r="G134" s="17"/>
      <c r="H134" s="17"/>
    </row>
    <row r="135" spans="2:8" s="16" customFormat="1" ht="22.5" customHeight="1">
      <c r="B135" s="17"/>
      <c r="C135" s="17"/>
      <c r="D135" s="17"/>
      <c r="E135" s="17"/>
      <c r="F135" s="18"/>
      <c r="G135" s="17"/>
      <c r="H135" s="17"/>
    </row>
    <row r="136" spans="2:8" s="16" customFormat="1" ht="22.5" customHeight="1">
      <c r="B136" s="17"/>
      <c r="C136" s="17"/>
      <c r="D136" s="17"/>
      <c r="E136" s="17"/>
      <c r="F136" s="18"/>
      <c r="G136" s="17"/>
      <c r="H136" s="17"/>
    </row>
    <row r="137" spans="2:8" s="16" customFormat="1" ht="22.5" customHeight="1">
      <c r="B137" s="17"/>
      <c r="C137" s="17"/>
      <c r="D137" s="17"/>
      <c r="E137" s="17"/>
      <c r="F137" s="18"/>
      <c r="G137" s="17"/>
      <c r="H137" s="17"/>
    </row>
    <row r="138" spans="2:8" s="16" customFormat="1" ht="22.5" customHeight="1">
      <c r="B138" s="17"/>
      <c r="C138" s="17"/>
      <c r="D138" s="17"/>
      <c r="E138" s="17"/>
      <c r="F138" s="18"/>
      <c r="G138" s="17"/>
      <c r="H138" s="17"/>
    </row>
    <row r="139" spans="2:8" s="16" customFormat="1" ht="22.5" customHeight="1">
      <c r="B139" s="17"/>
      <c r="C139" s="17"/>
      <c r="D139" s="17"/>
      <c r="E139" s="17"/>
      <c r="F139" s="18"/>
      <c r="G139" s="17"/>
      <c r="H139" s="17"/>
    </row>
    <row r="140" spans="2:8" s="16" customFormat="1" ht="22.5" customHeight="1">
      <c r="B140" s="17"/>
      <c r="C140" s="17"/>
      <c r="D140" s="17"/>
      <c r="E140" s="17"/>
      <c r="F140" s="18"/>
      <c r="G140" s="17"/>
      <c r="H140" s="17"/>
    </row>
    <row r="141" spans="2:8" s="16" customFormat="1" ht="22.5" customHeight="1">
      <c r="B141" s="17"/>
      <c r="C141" s="17"/>
      <c r="D141" s="17"/>
      <c r="E141" s="17"/>
      <c r="F141" s="18"/>
      <c r="G141" s="17"/>
      <c r="H141" s="17"/>
    </row>
    <row r="142" spans="2:8" s="16" customFormat="1" ht="22.5" customHeight="1">
      <c r="B142" s="17"/>
      <c r="C142" s="17"/>
      <c r="D142" s="17"/>
      <c r="E142" s="17"/>
      <c r="F142" s="18"/>
      <c r="G142" s="17"/>
      <c r="H142" s="17"/>
    </row>
    <row r="143" spans="2:8" s="16" customFormat="1" ht="22.5" customHeight="1">
      <c r="B143" s="17"/>
      <c r="C143" s="17"/>
      <c r="D143" s="17"/>
      <c r="E143" s="17"/>
      <c r="F143" s="18"/>
      <c r="G143" s="17"/>
      <c r="H143" s="17"/>
    </row>
    <row r="144" spans="2:8" s="16" customFormat="1" ht="22.5" customHeight="1">
      <c r="B144" s="17"/>
      <c r="C144" s="17"/>
      <c r="D144" s="17"/>
      <c r="E144" s="17"/>
      <c r="F144" s="18"/>
      <c r="G144" s="17"/>
      <c r="H144" s="17"/>
    </row>
    <row r="145" spans="2:8" s="16" customFormat="1" ht="22.5" customHeight="1">
      <c r="B145" s="17"/>
      <c r="C145" s="17"/>
      <c r="D145" s="17"/>
      <c r="E145" s="17"/>
      <c r="F145" s="18"/>
      <c r="G145" s="17"/>
      <c r="H145" s="17"/>
    </row>
    <row r="146" spans="2:8" s="16" customFormat="1" ht="22.5" customHeight="1">
      <c r="B146" s="17"/>
      <c r="C146" s="17"/>
      <c r="D146" s="17"/>
      <c r="E146" s="17"/>
      <c r="F146" s="18"/>
      <c r="G146" s="17"/>
      <c r="H146" s="17"/>
    </row>
    <row r="147" spans="2:8" s="16" customFormat="1" ht="22.5" customHeight="1">
      <c r="B147" s="17"/>
      <c r="C147" s="17"/>
      <c r="D147" s="17"/>
      <c r="E147" s="17"/>
      <c r="F147" s="18"/>
      <c r="G147" s="17"/>
      <c r="H147" s="17"/>
    </row>
    <row r="148" spans="2:8" s="16" customFormat="1" ht="22.5" customHeight="1">
      <c r="B148" s="17"/>
      <c r="C148" s="17"/>
      <c r="D148" s="17"/>
      <c r="E148" s="17"/>
      <c r="F148" s="18"/>
      <c r="G148" s="17"/>
      <c r="H148" s="17"/>
    </row>
    <row r="149" spans="2:8" s="16" customFormat="1" ht="22.5" customHeight="1">
      <c r="B149" s="17"/>
      <c r="C149" s="17"/>
      <c r="D149" s="17"/>
      <c r="E149" s="17"/>
      <c r="F149" s="18"/>
      <c r="G149" s="17"/>
      <c r="H149" s="17"/>
    </row>
    <row r="150" spans="2:8" s="16" customFormat="1" ht="22.5" customHeight="1">
      <c r="B150" s="17"/>
      <c r="C150" s="17"/>
      <c r="D150" s="17"/>
      <c r="E150" s="17"/>
      <c r="F150" s="18"/>
      <c r="G150" s="17"/>
      <c r="H150" s="17"/>
    </row>
    <row r="151" spans="2:8" s="16" customFormat="1" ht="22.5" customHeight="1">
      <c r="B151" s="17"/>
      <c r="C151" s="17"/>
      <c r="D151" s="17"/>
      <c r="E151" s="17"/>
      <c r="F151" s="18"/>
      <c r="G151" s="17"/>
      <c r="H151" s="17"/>
    </row>
    <row r="152" spans="2:8" s="16" customFormat="1" ht="22.5" customHeight="1">
      <c r="B152" s="17"/>
      <c r="C152" s="17"/>
      <c r="D152" s="17"/>
      <c r="E152" s="17"/>
      <c r="F152" s="18"/>
      <c r="G152" s="17"/>
      <c r="H152" s="17"/>
    </row>
    <row r="153" spans="2:8" s="16" customFormat="1" ht="22.5" customHeight="1">
      <c r="B153" s="17"/>
      <c r="C153" s="17"/>
      <c r="D153" s="17"/>
      <c r="E153" s="17"/>
      <c r="F153" s="18"/>
      <c r="G153" s="17"/>
      <c r="H153" s="17"/>
    </row>
    <row r="154" spans="2:8" s="16" customFormat="1" ht="22.5" customHeight="1">
      <c r="B154" s="17"/>
      <c r="C154" s="17"/>
      <c r="D154" s="17"/>
      <c r="E154" s="17"/>
      <c r="F154" s="18"/>
      <c r="G154" s="17"/>
      <c r="H154" s="17"/>
    </row>
    <row r="155" spans="2:8" s="16" customFormat="1" ht="22.5" customHeight="1">
      <c r="B155" s="17"/>
      <c r="C155" s="17"/>
      <c r="D155" s="17"/>
      <c r="E155" s="17"/>
      <c r="F155" s="18"/>
      <c r="G155" s="17"/>
      <c r="H155" s="17"/>
    </row>
    <row r="156" spans="2:8" s="16" customFormat="1" ht="22.5" customHeight="1">
      <c r="B156" s="17"/>
      <c r="C156" s="17"/>
      <c r="D156" s="17"/>
      <c r="E156" s="17"/>
      <c r="F156" s="18"/>
      <c r="G156" s="17"/>
      <c r="H156" s="17"/>
    </row>
    <row r="157" spans="2:8" s="16" customFormat="1" ht="22.5" customHeight="1">
      <c r="B157" s="17"/>
      <c r="C157" s="17"/>
      <c r="D157" s="17"/>
      <c r="E157" s="17"/>
      <c r="F157" s="18"/>
      <c r="G157" s="17"/>
      <c r="H157" s="17"/>
    </row>
    <row r="158" spans="2:8" s="16" customFormat="1" ht="22.5" customHeight="1">
      <c r="B158" s="17"/>
      <c r="C158" s="17"/>
      <c r="D158" s="17"/>
      <c r="E158" s="17"/>
      <c r="F158" s="18"/>
      <c r="G158" s="17"/>
      <c r="H158" s="17"/>
    </row>
    <row r="159" spans="2:8" s="16" customFormat="1" ht="22.5" customHeight="1">
      <c r="B159" s="17"/>
      <c r="C159" s="17"/>
      <c r="D159" s="17"/>
      <c r="E159" s="17"/>
      <c r="F159" s="18"/>
      <c r="G159" s="17"/>
      <c r="H159" s="17"/>
    </row>
    <row r="160" spans="2:8" s="16" customFormat="1" ht="22.5" customHeight="1">
      <c r="B160" s="17"/>
      <c r="C160" s="17"/>
      <c r="D160" s="17"/>
      <c r="E160" s="17"/>
      <c r="F160" s="18"/>
      <c r="G160" s="17"/>
      <c r="H160" s="17"/>
    </row>
    <row r="161" spans="2:8" s="16" customFormat="1" ht="22.5" customHeight="1">
      <c r="B161" s="17"/>
      <c r="C161" s="17"/>
      <c r="D161" s="17"/>
      <c r="E161" s="17"/>
      <c r="F161" s="18"/>
      <c r="G161" s="17"/>
      <c r="H161" s="17"/>
    </row>
    <row r="162" spans="2:8" s="16" customFormat="1" ht="22.5" customHeight="1">
      <c r="B162" s="17"/>
      <c r="C162" s="17"/>
      <c r="D162" s="17"/>
      <c r="E162" s="17"/>
      <c r="F162" s="18"/>
      <c r="G162" s="17"/>
      <c r="H162" s="17"/>
    </row>
    <row r="163" spans="2:8" s="16" customFormat="1" ht="22.5" customHeight="1">
      <c r="B163" s="17"/>
      <c r="C163" s="17"/>
      <c r="D163" s="17"/>
      <c r="E163" s="17"/>
      <c r="F163" s="18"/>
      <c r="G163" s="17"/>
      <c r="H163" s="17"/>
    </row>
    <row r="164" spans="2:8" s="16" customFormat="1" ht="22.5" customHeight="1">
      <c r="B164" s="17"/>
      <c r="C164" s="17"/>
      <c r="D164" s="17"/>
      <c r="E164" s="17"/>
      <c r="F164" s="18"/>
      <c r="G164" s="17"/>
      <c r="H164" s="17"/>
    </row>
    <row r="165" spans="2:8" s="16" customFormat="1" ht="22.5" customHeight="1">
      <c r="B165" s="17"/>
      <c r="C165" s="17"/>
      <c r="D165" s="17"/>
      <c r="E165" s="17"/>
      <c r="F165" s="18"/>
      <c r="G165" s="17"/>
      <c r="H165" s="17"/>
    </row>
    <row r="166" spans="2:8" s="16" customFormat="1" ht="22.5" customHeight="1">
      <c r="B166" s="17"/>
      <c r="C166" s="17"/>
      <c r="D166" s="17"/>
      <c r="E166" s="17"/>
      <c r="F166" s="18"/>
      <c r="G166" s="17"/>
      <c r="H166" s="17"/>
    </row>
    <row r="167" spans="2:8" s="16" customFormat="1" ht="22.5" customHeight="1">
      <c r="B167" s="17"/>
      <c r="C167" s="17"/>
      <c r="D167" s="17"/>
      <c r="E167" s="17"/>
      <c r="F167" s="18"/>
      <c r="G167" s="17"/>
      <c r="H167" s="17"/>
    </row>
    <row r="168" spans="2:8" s="16" customFormat="1" ht="22.5" customHeight="1">
      <c r="B168" s="17"/>
      <c r="C168" s="17"/>
      <c r="D168" s="17"/>
      <c r="E168" s="17"/>
      <c r="F168" s="18"/>
      <c r="G168" s="17"/>
      <c r="H168" s="17"/>
    </row>
    <row r="169" spans="2:8" s="16" customFormat="1" ht="22.5" customHeight="1">
      <c r="B169" s="17"/>
      <c r="C169" s="17"/>
      <c r="D169" s="17"/>
      <c r="E169" s="17"/>
      <c r="F169" s="18"/>
      <c r="G169" s="17"/>
      <c r="H169" s="17"/>
    </row>
    <row r="170" spans="2:8" s="16" customFormat="1" ht="22.5" customHeight="1">
      <c r="B170" s="17"/>
      <c r="C170" s="17"/>
      <c r="D170" s="17"/>
      <c r="E170" s="17"/>
      <c r="F170" s="18"/>
      <c r="G170" s="17"/>
      <c r="H170" s="17"/>
    </row>
    <row r="171" spans="2:8" s="16" customFormat="1" ht="22.5" customHeight="1">
      <c r="B171" s="17"/>
      <c r="C171" s="17"/>
      <c r="D171" s="17"/>
      <c r="E171" s="17"/>
      <c r="F171" s="18"/>
      <c r="G171" s="17"/>
      <c r="H171" s="17"/>
    </row>
    <row r="172" spans="2:8" s="16" customFormat="1" ht="22.5" customHeight="1">
      <c r="B172" s="17"/>
      <c r="C172" s="17"/>
      <c r="D172" s="17"/>
      <c r="E172" s="17"/>
      <c r="F172" s="18"/>
      <c r="G172" s="17"/>
      <c r="H172" s="17"/>
    </row>
    <row r="173" spans="2:8" s="16" customFormat="1" ht="22.5" customHeight="1">
      <c r="B173" s="17"/>
      <c r="C173" s="17"/>
      <c r="D173" s="17"/>
      <c r="E173" s="17"/>
      <c r="F173" s="18"/>
      <c r="G173" s="17"/>
      <c r="H173" s="17"/>
    </row>
    <row r="174" spans="2:8" s="16" customFormat="1" ht="22.5" customHeight="1">
      <c r="B174" s="17"/>
      <c r="C174" s="17"/>
      <c r="D174" s="17"/>
      <c r="E174" s="17"/>
      <c r="F174" s="18"/>
      <c r="G174" s="17"/>
      <c r="H174" s="17"/>
    </row>
    <row r="175" spans="2:8" s="16" customFormat="1" ht="22.5" customHeight="1">
      <c r="B175" s="17"/>
      <c r="C175" s="17"/>
      <c r="D175" s="17"/>
      <c r="E175" s="17"/>
      <c r="F175" s="18"/>
      <c r="G175" s="17"/>
      <c r="H175" s="17"/>
    </row>
    <row r="176" spans="2:8" s="16" customFormat="1" ht="22.5" customHeight="1">
      <c r="B176" s="17"/>
      <c r="C176" s="17"/>
      <c r="D176" s="17"/>
      <c r="E176" s="17"/>
      <c r="F176" s="18"/>
      <c r="G176" s="17"/>
      <c r="H176" s="17"/>
    </row>
    <row r="177" spans="2:8" s="16" customFormat="1" ht="22.5" customHeight="1">
      <c r="B177" s="17"/>
      <c r="C177" s="17"/>
      <c r="D177" s="17"/>
      <c r="E177" s="17"/>
      <c r="F177" s="18"/>
      <c r="G177" s="17"/>
      <c r="H177" s="17"/>
    </row>
    <row r="178" spans="2:8" s="16" customFormat="1" ht="22.5" customHeight="1">
      <c r="B178" s="17"/>
      <c r="C178" s="17"/>
      <c r="D178" s="17"/>
      <c r="E178" s="17"/>
      <c r="F178" s="18"/>
      <c r="G178" s="17"/>
      <c r="H178" s="17"/>
    </row>
    <row r="179" spans="2:8" s="16" customFormat="1" ht="22.5" customHeight="1">
      <c r="B179" s="17"/>
      <c r="C179" s="17"/>
      <c r="D179" s="17"/>
      <c r="E179" s="17"/>
      <c r="F179" s="18"/>
      <c r="G179" s="17"/>
      <c r="H179" s="17"/>
    </row>
    <row r="180" spans="2:8" s="16" customFormat="1" ht="22.5" customHeight="1">
      <c r="B180" s="17"/>
      <c r="C180" s="17"/>
      <c r="D180" s="17"/>
      <c r="E180" s="17"/>
      <c r="F180" s="18"/>
      <c r="G180" s="17"/>
      <c r="H180" s="17"/>
    </row>
    <row r="181" spans="2:8" s="16" customFormat="1" ht="22.5" customHeight="1">
      <c r="B181" s="17"/>
      <c r="C181" s="17"/>
      <c r="D181" s="17"/>
      <c r="E181" s="17"/>
      <c r="F181" s="18"/>
      <c r="G181" s="17"/>
      <c r="H181" s="17"/>
    </row>
    <row r="182" spans="2:8" s="16" customFormat="1" ht="22.5" customHeight="1">
      <c r="B182" s="17"/>
      <c r="C182" s="17"/>
      <c r="D182" s="17"/>
      <c r="E182" s="17"/>
      <c r="F182" s="18"/>
      <c r="G182" s="17"/>
      <c r="H182" s="17"/>
    </row>
    <row r="183" spans="2:8" s="16" customFormat="1" ht="22.5" customHeight="1">
      <c r="B183" s="17"/>
      <c r="C183" s="17"/>
      <c r="D183" s="17"/>
      <c r="E183" s="17"/>
      <c r="F183" s="18"/>
      <c r="G183" s="17"/>
      <c r="H183" s="17"/>
    </row>
    <row r="184" spans="2:8" s="16" customFormat="1" ht="22.5" customHeight="1">
      <c r="B184" s="17"/>
      <c r="C184" s="17"/>
      <c r="D184" s="17"/>
      <c r="E184" s="17"/>
      <c r="F184" s="18"/>
      <c r="G184" s="17"/>
      <c r="H184" s="17"/>
    </row>
    <row r="185" spans="2:8" s="16" customFormat="1" ht="22.5" customHeight="1">
      <c r="B185" s="17"/>
      <c r="C185" s="17"/>
      <c r="D185" s="17"/>
      <c r="E185" s="17"/>
      <c r="F185" s="18"/>
      <c r="G185" s="17"/>
      <c r="H185" s="17"/>
    </row>
    <row r="186" spans="2:8" s="16" customFormat="1" ht="22.5" customHeight="1">
      <c r="B186" s="17"/>
      <c r="C186" s="17"/>
      <c r="D186" s="17"/>
      <c r="E186" s="17"/>
      <c r="F186" s="18"/>
      <c r="G186" s="17"/>
      <c r="H186" s="17"/>
    </row>
    <row r="187" spans="2:8" s="16" customFormat="1" ht="22.5" customHeight="1">
      <c r="B187" s="17"/>
      <c r="C187" s="17"/>
      <c r="D187" s="17"/>
      <c r="E187" s="17"/>
      <c r="F187" s="18"/>
      <c r="G187" s="17"/>
      <c r="H187" s="17"/>
    </row>
    <row r="188" spans="2:8" s="16" customFormat="1" ht="22.5" customHeight="1">
      <c r="B188" s="17"/>
      <c r="C188" s="17"/>
      <c r="D188" s="17"/>
      <c r="E188" s="17"/>
      <c r="F188" s="18"/>
      <c r="G188" s="17"/>
      <c r="H188" s="17"/>
    </row>
    <row r="189" spans="2:8" s="16" customFormat="1" ht="22.5" customHeight="1">
      <c r="B189" s="17"/>
      <c r="C189" s="17"/>
      <c r="D189" s="17"/>
      <c r="E189" s="17"/>
      <c r="F189" s="18"/>
      <c r="G189" s="17"/>
      <c r="H189" s="17"/>
    </row>
    <row r="190" spans="2:8" s="16" customFormat="1" ht="22.5" customHeight="1">
      <c r="B190" s="17"/>
      <c r="C190" s="17"/>
      <c r="D190" s="17"/>
      <c r="E190" s="17"/>
      <c r="F190" s="18"/>
      <c r="G190" s="17"/>
      <c r="H190" s="17"/>
    </row>
    <row r="191" spans="2:8" s="16" customFormat="1" ht="22.5" customHeight="1">
      <c r="B191" s="17"/>
      <c r="C191" s="17"/>
      <c r="D191" s="17"/>
      <c r="E191" s="17"/>
      <c r="F191" s="18"/>
      <c r="G191" s="17"/>
      <c r="H191" s="17"/>
    </row>
    <row r="192" spans="2:8" s="16" customFormat="1" ht="22.5" customHeight="1">
      <c r="B192" s="17"/>
      <c r="C192" s="17"/>
      <c r="D192" s="17"/>
      <c r="E192" s="17"/>
      <c r="F192" s="18"/>
      <c r="G192" s="17"/>
      <c r="H192" s="17"/>
    </row>
    <row r="193" spans="2:8" s="16" customFormat="1" ht="22.5" customHeight="1">
      <c r="B193" s="17"/>
      <c r="C193" s="17"/>
      <c r="D193" s="17"/>
      <c r="E193" s="17"/>
      <c r="F193" s="18"/>
      <c r="G193" s="17"/>
      <c r="H193" s="17"/>
    </row>
    <row r="194" spans="2:8" s="16" customFormat="1" ht="22.5" customHeight="1">
      <c r="B194" s="17"/>
      <c r="C194" s="17"/>
      <c r="D194" s="17"/>
      <c r="E194" s="17"/>
      <c r="F194" s="18"/>
      <c r="G194" s="17"/>
      <c r="H194" s="17"/>
    </row>
    <row r="195" spans="2:8" s="16" customFormat="1" ht="22.5" customHeight="1">
      <c r="B195" s="17"/>
      <c r="C195" s="17"/>
      <c r="D195" s="17"/>
      <c r="E195" s="17"/>
      <c r="F195" s="18"/>
      <c r="G195" s="17"/>
      <c r="H195" s="17"/>
    </row>
    <row r="196" spans="2:8" s="16" customFormat="1" ht="22.5" customHeight="1">
      <c r="B196" s="17"/>
      <c r="C196" s="17"/>
      <c r="D196" s="17"/>
      <c r="E196" s="17"/>
      <c r="F196" s="18"/>
      <c r="G196" s="17"/>
      <c r="H196" s="17"/>
    </row>
    <row r="197" spans="2:8" s="16" customFormat="1" ht="22.5" customHeight="1">
      <c r="B197" s="17"/>
      <c r="C197" s="17"/>
      <c r="D197" s="17"/>
      <c r="E197" s="17"/>
      <c r="F197" s="18"/>
      <c r="G197" s="17"/>
      <c r="H197" s="17"/>
    </row>
    <row r="198" spans="2:8" s="16" customFormat="1" ht="22.5" customHeight="1">
      <c r="B198" s="17"/>
      <c r="C198" s="17"/>
      <c r="D198" s="17"/>
      <c r="E198" s="17"/>
      <c r="F198" s="18"/>
      <c r="G198" s="17"/>
      <c r="H198" s="17"/>
    </row>
    <row r="199" spans="2:8" s="16" customFormat="1" ht="22.5" customHeight="1">
      <c r="B199" s="17"/>
      <c r="C199" s="17"/>
      <c r="D199" s="17"/>
      <c r="E199" s="17"/>
      <c r="F199" s="18"/>
      <c r="G199" s="17"/>
      <c r="H199" s="17"/>
    </row>
    <row r="200" spans="2:8" s="16" customFormat="1" ht="22.5" customHeight="1">
      <c r="B200" s="17"/>
      <c r="C200" s="17"/>
      <c r="D200" s="17"/>
      <c r="E200" s="17"/>
      <c r="F200" s="18"/>
      <c r="G200" s="17"/>
      <c r="H200" s="17"/>
    </row>
    <row r="201" spans="2:8" s="16" customFormat="1" ht="22.5" customHeight="1">
      <c r="B201" s="17"/>
      <c r="C201" s="17"/>
      <c r="D201" s="17"/>
      <c r="E201" s="17"/>
      <c r="F201" s="18"/>
      <c r="G201" s="17"/>
      <c r="H201" s="17"/>
    </row>
    <row r="202" spans="2:8" s="16" customFormat="1" ht="22.5" customHeight="1">
      <c r="B202" s="17"/>
      <c r="C202" s="17"/>
      <c r="D202" s="17"/>
      <c r="E202" s="17"/>
      <c r="F202" s="18"/>
      <c r="G202" s="17"/>
      <c r="H202" s="17"/>
    </row>
    <row r="203" spans="2:8" s="16" customFormat="1" ht="22.5" customHeight="1">
      <c r="B203" s="17"/>
      <c r="C203" s="17"/>
      <c r="D203" s="17"/>
      <c r="E203" s="17"/>
      <c r="F203" s="18"/>
      <c r="G203" s="17"/>
      <c r="H203" s="17"/>
    </row>
    <row r="204" spans="2:8" s="16" customFormat="1" ht="22.5" customHeight="1">
      <c r="B204" s="17"/>
      <c r="C204" s="17"/>
      <c r="D204" s="17"/>
      <c r="E204" s="17"/>
      <c r="F204" s="18"/>
      <c r="G204" s="17"/>
      <c r="H204" s="17"/>
    </row>
    <row r="205" spans="2:8" s="16" customFormat="1" ht="22.5" customHeight="1">
      <c r="B205" s="17"/>
      <c r="C205" s="17"/>
      <c r="D205" s="17"/>
      <c r="E205" s="17"/>
      <c r="F205" s="18"/>
      <c r="G205" s="17"/>
      <c r="H205" s="17"/>
    </row>
    <row r="206" spans="2:8" s="16" customFormat="1" ht="22.5" customHeight="1">
      <c r="B206" s="17"/>
      <c r="C206" s="17"/>
      <c r="D206" s="17"/>
      <c r="E206" s="17"/>
      <c r="F206" s="18"/>
      <c r="G206" s="17"/>
      <c r="H206" s="17"/>
    </row>
    <row r="207" spans="2:8" s="16" customFormat="1" ht="22.5" customHeight="1">
      <c r="B207" s="17"/>
      <c r="C207" s="17"/>
      <c r="D207" s="17"/>
      <c r="E207" s="17"/>
      <c r="F207" s="18"/>
      <c r="G207" s="17"/>
      <c r="H207" s="17"/>
    </row>
    <row r="208" spans="2:8" s="16" customFormat="1" ht="22.5" customHeight="1">
      <c r="B208" s="17"/>
      <c r="C208" s="17"/>
      <c r="D208" s="17"/>
      <c r="E208" s="17"/>
      <c r="F208" s="18"/>
      <c r="G208" s="17"/>
      <c r="H208" s="17"/>
    </row>
    <row r="209" spans="2:8" s="16" customFormat="1" ht="22.5" customHeight="1">
      <c r="B209" s="17"/>
      <c r="C209" s="17"/>
      <c r="D209" s="17"/>
      <c r="E209" s="17"/>
      <c r="F209" s="18"/>
      <c r="G209" s="17"/>
      <c r="H209" s="17"/>
    </row>
    <row r="210" spans="2:8" s="16" customFormat="1" ht="22.5" customHeight="1">
      <c r="B210" s="17"/>
      <c r="C210" s="17"/>
      <c r="D210" s="17"/>
      <c r="E210" s="17"/>
      <c r="F210" s="18"/>
      <c r="G210" s="17"/>
      <c r="H210" s="17"/>
    </row>
    <row r="211" spans="2:8" s="16" customFormat="1" ht="22.5" customHeight="1">
      <c r="B211" s="17"/>
      <c r="C211" s="17"/>
      <c r="D211" s="17"/>
      <c r="E211" s="17"/>
      <c r="F211" s="18"/>
      <c r="G211" s="17"/>
      <c r="H211" s="17"/>
    </row>
    <row r="212" spans="2:8" s="16" customFormat="1" ht="22.5" customHeight="1">
      <c r="B212" s="17"/>
      <c r="C212" s="17"/>
      <c r="D212" s="17"/>
      <c r="E212" s="17"/>
      <c r="F212" s="18"/>
      <c r="G212" s="17"/>
      <c r="H212" s="17"/>
    </row>
    <row r="213" spans="2:8" s="16" customFormat="1" ht="22.5" customHeight="1">
      <c r="B213" s="17"/>
      <c r="C213" s="17"/>
      <c r="D213" s="17"/>
      <c r="E213" s="17"/>
      <c r="F213" s="19"/>
      <c r="G213" s="17"/>
      <c r="H213" s="17"/>
    </row>
    <row r="214" spans="2:8" s="16" customFormat="1" ht="22.5" customHeight="1">
      <c r="B214" s="17"/>
      <c r="C214" s="17"/>
      <c r="D214" s="17"/>
      <c r="E214" s="17"/>
      <c r="F214" s="19"/>
      <c r="G214" s="17"/>
      <c r="H214" s="17"/>
    </row>
    <row r="215" spans="2:8" s="16" customFormat="1" ht="22.5" customHeight="1">
      <c r="B215" s="17"/>
      <c r="C215" s="17"/>
      <c r="D215" s="17"/>
      <c r="E215" s="17"/>
      <c r="F215" s="19"/>
      <c r="G215" s="17"/>
      <c r="H215" s="17"/>
    </row>
    <row r="216" spans="2:8" s="16" customFormat="1" ht="22.5" customHeight="1">
      <c r="B216" s="17"/>
      <c r="C216" s="17"/>
      <c r="D216" s="17"/>
      <c r="E216" s="17"/>
      <c r="F216" s="19"/>
      <c r="G216" s="17"/>
      <c r="H216" s="17"/>
    </row>
    <row r="217" spans="2:8" s="16" customFormat="1" ht="22.5" customHeight="1">
      <c r="B217" s="17"/>
      <c r="C217" s="17"/>
      <c r="D217" s="17"/>
      <c r="E217" s="17"/>
      <c r="F217" s="19"/>
      <c r="G217" s="17"/>
      <c r="H217" s="17"/>
    </row>
    <row r="218" spans="2:8" s="16" customFormat="1" ht="22.5" customHeight="1">
      <c r="B218" s="17"/>
      <c r="C218" s="17"/>
      <c r="D218" s="17"/>
      <c r="E218" s="17"/>
      <c r="F218" s="19"/>
      <c r="G218" s="17"/>
      <c r="H218" s="17"/>
    </row>
    <row r="219" spans="2:8" s="16" customFormat="1" ht="22.5" customHeight="1">
      <c r="B219" s="17"/>
      <c r="C219" s="17"/>
      <c r="D219" s="17"/>
      <c r="E219" s="17"/>
      <c r="F219" s="19"/>
      <c r="G219" s="17"/>
      <c r="H219" s="17"/>
    </row>
    <row r="220" spans="2:8" s="16" customFormat="1" ht="22.5" customHeight="1">
      <c r="B220" s="17"/>
      <c r="C220" s="17"/>
      <c r="D220" s="17"/>
      <c r="E220" s="17"/>
      <c r="F220" s="19"/>
      <c r="G220" s="17"/>
      <c r="H220" s="17"/>
    </row>
    <row r="221" spans="2:8" s="16" customFormat="1" ht="22.5" customHeight="1">
      <c r="B221" s="17"/>
      <c r="C221" s="17"/>
      <c r="D221" s="17"/>
      <c r="E221" s="17"/>
      <c r="F221" s="19"/>
      <c r="G221" s="17"/>
      <c r="H221" s="17"/>
    </row>
    <row r="222" spans="2:8" s="16" customFormat="1" ht="22.5" customHeight="1">
      <c r="B222" s="17"/>
      <c r="C222" s="17"/>
      <c r="D222" s="17"/>
      <c r="E222" s="17"/>
      <c r="F222" s="19"/>
      <c r="G222" s="17"/>
      <c r="H222" s="17"/>
    </row>
    <row r="223" spans="2:8" s="16" customFormat="1" ht="22.5" customHeight="1">
      <c r="B223" s="17"/>
      <c r="C223" s="17"/>
      <c r="D223" s="17"/>
      <c r="E223" s="17"/>
      <c r="F223" s="19"/>
      <c r="G223" s="17"/>
      <c r="H223" s="17"/>
    </row>
    <row r="224" spans="2:8" s="16" customFormat="1" ht="22.5" customHeight="1">
      <c r="B224" s="17"/>
      <c r="C224" s="17"/>
      <c r="D224" s="17"/>
      <c r="E224" s="17"/>
      <c r="F224" s="19"/>
      <c r="G224" s="17"/>
      <c r="H224" s="17"/>
    </row>
    <row r="225" spans="2:8" s="16" customFormat="1" ht="22.5" customHeight="1">
      <c r="B225" s="17"/>
      <c r="C225" s="17"/>
      <c r="D225" s="17"/>
      <c r="E225" s="17"/>
      <c r="F225" s="19"/>
      <c r="G225" s="17"/>
      <c r="H225" s="17"/>
    </row>
    <row r="226" spans="2:8" s="16" customFormat="1" ht="22.5" customHeight="1">
      <c r="B226" s="17"/>
      <c r="C226" s="17"/>
      <c r="D226" s="17"/>
      <c r="E226" s="17"/>
      <c r="F226" s="19"/>
      <c r="G226" s="17"/>
      <c r="H226" s="17"/>
    </row>
    <row r="227" spans="2:8" s="16" customFormat="1" ht="22.5" customHeight="1">
      <c r="B227" s="17"/>
      <c r="C227" s="17"/>
      <c r="D227" s="17"/>
      <c r="E227" s="17"/>
      <c r="F227" s="19"/>
      <c r="G227" s="17"/>
      <c r="H227" s="17"/>
    </row>
    <row r="228" spans="2:8" s="16" customFormat="1" ht="22.5" customHeight="1">
      <c r="B228" s="17"/>
      <c r="C228" s="17"/>
      <c r="D228" s="17"/>
      <c r="E228" s="17"/>
      <c r="F228" s="19"/>
      <c r="G228" s="17"/>
      <c r="H228" s="17"/>
    </row>
    <row r="229" spans="2:8" s="16" customFormat="1" ht="22.5" customHeight="1">
      <c r="B229" s="17"/>
      <c r="C229" s="17"/>
      <c r="D229" s="17"/>
      <c r="E229" s="17"/>
      <c r="F229" s="19"/>
      <c r="G229" s="17"/>
      <c r="H229" s="17"/>
    </row>
    <row r="230" spans="2:8" s="16" customFormat="1" ht="22.5" customHeight="1">
      <c r="B230" s="17"/>
      <c r="C230" s="17"/>
      <c r="D230" s="17"/>
      <c r="E230" s="17"/>
      <c r="F230" s="19"/>
      <c r="G230" s="17"/>
      <c r="H230" s="17"/>
    </row>
    <row r="231" spans="2:8" s="16" customFormat="1" ht="22.5" customHeight="1">
      <c r="B231" s="17"/>
      <c r="C231" s="17"/>
      <c r="D231" s="17"/>
      <c r="E231" s="17"/>
      <c r="F231" s="19"/>
      <c r="G231" s="17"/>
      <c r="H231" s="17"/>
    </row>
    <row r="232" spans="2:8" s="16" customFormat="1" ht="22.5" customHeight="1">
      <c r="B232" s="17"/>
      <c r="C232" s="17"/>
      <c r="D232" s="17"/>
      <c r="E232" s="17"/>
      <c r="F232" s="19"/>
      <c r="G232" s="17"/>
      <c r="H232" s="17"/>
    </row>
    <row r="233" spans="2:8" s="16" customFormat="1" ht="22.5" customHeight="1">
      <c r="B233" s="17"/>
      <c r="C233" s="17"/>
      <c r="D233" s="17"/>
      <c r="E233" s="17"/>
      <c r="F233" s="19"/>
      <c r="G233" s="17"/>
      <c r="H233" s="17"/>
    </row>
    <row r="234" spans="2:8" s="16" customFormat="1" ht="22.5" customHeight="1">
      <c r="B234" s="17"/>
      <c r="C234" s="17"/>
      <c r="D234" s="17"/>
      <c r="E234" s="17"/>
      <c r="F234" s="19"/>
      <c r="G234" s="17"/>
      <c r="H234" s="17"/>
    </row>
    <row r="235" spans="2:8" s="16" customFormat="1" ht="22.5" customHeight="1">
      <c r="B235" s="17"/>
      <c r="C235" s="17"/>
      <c r="D235" s="17"/>
      <c r="E235" s="17"/>
      <c r="F235" s="19"/>
      <c r="G235" s="17"/>
      <c r="H235" s="17"/>
    </row>
    <row r="236" spans="2:8" s="16" customFormat="1" ht="22.5" customHeight="1">
      <c r="B236" s="17"/>
      <c r="C236" s="17"/>
      <c r="D236" s="17"/>
      <c r="E236" s="17"/>
      <c r="F236" s="19"/>
      <c r="G236" s="17"/>
      <c r="H236" s="17"/>
    </row>
    <row r="237" spans="2:8" s="16" customFormat="1" ht="22.5" customHeight="1">
      <c r="B237" s="17"/>
      <c r="C237" s="17"/>
      <c r="D237" s="17"/>
      <c r="E237" s="17"/>
      <c r="F237" s="19"/>
      <c r="G237" s="17"/>
      <c r="H237" s="17"/>
    </row>
    <row r="238" spans="2:8" s="16" customFormat="1" ht="22.5" customHeight="1">
      <c r="B238" s="17"/>
      <c r="C238" s="17"/>
      <c r="D238" s="17"/>
      <c r="E238" s="17"/>
      <c r="F238" s="19"/>
      <c r="G238" s="17"/>
      <c r="H238" s="17"/>
    </row>
    <row r="239" spans="2:8" s="16" customFormat="1" ht="22.5" customHeight="1">
      <c r="B239" s="17"/>
      <c r="C239" s="17"/>
      <c r="D239" s="17"/>
      <c r="E239" s="17"/>
      <c r="F239" s="19"/>
      <c r="G239" s="17"/>
      <c r="H239" s="17"/>
    </row>
    <row r="240" spans="2:8" s="16" customFormat="1" ht="22.5" customHeight="1">
      <c r="B240" s="17"/>
      <c r="C240" s="17"/>
      <c r="D240" s="17"/>
      <c r="E240" s="17"/>
      <c r="F240" s="19"/>
      <c r="G240" s="17"/>
      <c r="H240" s="17"/>
    </row>
    <row r="241" spans="2:8" s="16" customFormat="1" ht="22.5" customHeight="1">
      <c r="B241" s="17"/>
      <c r="C241" s="17"/>
      <c r="D241" s="17"/>
      <c r="E241" s="17"/>
      <c r="F241" s="19"/>
      <c r="G241" s="17"/>
      <c r="H241" s="17"/>
    </row>
    <row r="242" spans="2:8" s="16" customFormat="1" ht="22.5" customHeight="1">
      <c r="B242" s="17"/>
      <c r="C242" s="17"/>
      <c r="D242" s="17"/>
      <c r="E242" s="17"/>
      <c r="F242" s="19"/>
      <c r="G242" s="17"/>
      <c r="H242" s="17"/>
    </row>
    <row r="243" spans="2:8" s="16" customFormat="1" ht="22.5" customHeight="1">
      <c r="B243" s="17"/>
      <c r="C243" s="17"/>
      <c r="D243" s="17"/>
      <c r="E243" s="17"/>
      <c r="F243" s="19"/>
      <c r="G243" s="17"/>
      <c r="H243" s="17"/>
    </row>
    <row r="244" spans="2:8" s="16" customFormat="1" ht="22.5" customHeight="1">
      <c r="B244" s="17"/>
      <c r="C244" s="17"/>
      <c r="D244" s="17"/>
      <c r="E244" s="17"/>
      <c r="F244" s="19"/>
      <c r="G244" s="17"/>
      <c r="H244" s="17"/>
    </row>
    <row r="245" spans="2:8" s="16" customFormat="1" ht="22.5" customHeight="1">
      <c r="B245" s="17"/>
      <c r="C245" s="17"/>
      <c r="D245" s="17"/>
      <c r="E245" s="17"/>
      <c r="F245" s="19"/>
      <c r="G245" s="17"/>
      <c r="H245" s="17"/>
    </row>
    <row r="246" spans="2:8" s="16" customFormat="1" ht="22.5" customHeight="1">
      <c r="B246" s="17"/>
      <c r="C246" s="17"/>
      <c r="D246" s="17"/>
      <c r="E246" s="17"/>
      <c r="F246" s="19"/>
      <c r="G246" s="17"/>
      <c r="H246" s="17"/>
    </row>
    <row r="247" spans="2:8" s="16" customFormat="1" ht="22.5" customHeight="1">
      <c r="B247" s="17"/>
      <c r="C247" s="17"/>
      <c r="D247" s="17"/>
      <c r="E247" s="17"/>
      <c r="F247" s="19"/>
      <c r="G247" s="17"/>
      <c r="H247" s="17"/>
    </row>
    <row r="248" spans="2:8" s="16" customFormat="1" ht="22.5" customHeight="1">
      <c r="B248" s="17"/>
      <c r="C248" s="17"/>
      <c r="D248" s="17"/>
      <c r="E248" s="17"/>
      <c r="F248" s="19"/>
      <c r="G248" s="17"/>
      <c r="H248" s="17"/>
    </row>
    <row r="249" spans="2:8" s="16" customFormat="1" ht="22.5" customHeight="1">
      <c r="B249" s="17"/>
      <c r="C249" s="17"/>
      <c r="D249" s="17"/>
      <c r="E249" s="17"/>
      <c r="F249" s="19"/>
      <c r="G249" s="17"/>
      <c r="H249" s="17"/>
    </row>
    <row r="250" spans="2:8" s="16" customFormat="1" ht="22.5" customHeight="1">
      <c r="B250" s="17"/>
      <c r="C250" s="17"/>
      <c r="D250" s="17"/>
      <c r="E250" s="17"/>
      <c r="F250" s="19"/>
      <c r="G250" s="17"/>
      <c r="H250" s="17"/>
    </row>
    <row r="251" spans="2:8" s="16" customFormat="1" ht="22.5" customHeight="1">
      <c r="B251" s="17"/>
      <c r="C251" s="17"/>
      <c r="D251" s="17"/>
      <c r="E251" s="17"/>
      <c r="F251" s="19"/>
      <c r="G251" s="17"/>
      <c r="H251" s="17"/>
    </row>
    <row r="252" spans="2:8" s="16" customFormat="1" ht="22.5" customHeight="1">
      <c r="B252" s="17"/>
      <c r="C252" s="17"/>
      <c r="D252" s="17"/>
      <c r="E252" s="17"/>
      <c r="F252" s="19"/>
      <c r="G252" s="17"/>
      <c r="H252" s="17"/>
    </row>
    <row r="253" spans="2:8" s="16" customFormat="1" ht="22.5" customHeight="1">
      <c r="B253" s="17"/>
      <c r="C253" s="17"/>
      <c r="D253" s="17"/>
      <c r="E253" s="17"/>
      <c r="F253" s="19"/>
      <c r="G253" s="17"/>
      <c r="H253" s="17"/>
    </row>
    <row r="254" spans="2:8" s="16" customFormat="1" ht="22.5" customHeight="1">
      <c r="B254" s="17"/>
      <c r="C254" s="17"/>
      <c r="D254" s="17"/>
      <c r="E254" s="17"/>
      <c r="F254" s="19"/>
      <c r="G254" s="17"/>
      <c r="H254" s="17"/>
    </row>
    <row r="255" spans="2:8" s="16" customFormat="1" ht="22.5" customHeight="1">
      <c r="B255" s="17"/>
      <c r="C255" s="17"/>
      <c r="D255" s="17"/>
      <c r="E255" s="17"/>
      <c r="F255" s="19"/>
      <c r="G255" s="17"/>
      <c r="H255" s="17"/>
    </row>
    <row r="256" spans="2:8" s="16" customFormat="1" ht="22.5" customHeight="1">
      <c r="B256" s="17"/>
      <c r="C256" s="17"/>
      <c r="D256" s="17"/>
      <c r="E256" s="17"/>
      <c r="F256" s="19"/>
      <c r="G256" s="17"/>
      <c r="H256" s="17"/>
    </row>
    <row r="257" spans="2:8" s="16" customFormat="1" ht="22.5" customHeight="1">
      <c r="B257" s="17"/>
      <c r="C257" s="17"/>
      <c r="D257" s="17"/>
      <c r="E257" s="17"/>
      <c r="F257" s="19"/>
      <c r="G257" s="17"/>
      <c r="H257" s="17"/>
    </row>
    <row r="258" spans="2:8" s="16" customFormat="1" ht="22.5" customHeight="1">
      <c r="B258" s="17"/>
      <c r="C258" s="17"/>
      <c r="D258" s="17"/>
      <c r="E258" s="17"/>
      <c r="F258" s="19"/>
      <c r="G258" s="17"/>
      <c r="H258" s="17"/>
    </row>
    <row r="259" spans="2:8" s="16" customFormat="1" ht="22.5" customHeight="1">
      <c r="B259" s="17"/>
      <c r="C259" s="17"/>
      <c r="D259" s="17"/>
      <c r="E259" s="17"/>
      <c r="F259" s="19"/>
      <c r="G259" s="17"/>
      <c r="H259" s="17"/>
    </row>
    <row r="260" spans="2:8" s="16" customFormat="1" ht="22.5" customHeight="1">
      <c r="B260" s="17"/>
      <c r="C260" s="17"/>
      <c r="D260" s="17"/>
      <c r="E260" s="17"/>
      <c r="F260" s="19"/>
      <c r="G260" s="17"/>
      <c r="H260" s="17"/>
    </row>
    <row r="261" spans="2:8" s="16" customFormat="1" ht="22.5" customHeight="1">
      <c r="B261" s="17"/>
      <c r="C261" s="17"/>
      <c r="D261" s="17"/>
      <c r="E261" s="17"/>
      <c r="F261" s="19"/>
      <c r="G261" s="17"/>
      <c r="H261" s="17"/>
    </row>
    <row r="262" spans="2:8" s="16" customFormat="1" ht="22.5" customHeight="1">
      <c r="B262" s="17"/>
      <c r="C262" s="17"/>
      <c r="D262" s="17"/>
      <c r="E262" s="17"/>
      <c r="F262" s="19"/>
      <c r="G262" s="17"/>
      <c r="H262" s="17"/>
    </row>
    <row r="263" spans="2:8" s="16" customFormat="1" ht="22.5" customHeight="1">
      <c r="B263" s="17"/>
      <c r="C263" s="17"/>
      <c r="D263" s="17"/>
      <c r="E263" s="17"/>
      <c r="F263" s="19"/>
      <c r="G263" s="17"/>
      <c r="H263" s="17"/>
    </row>
    <row r="264" spans="2:8" s="16" customFormat="1" ht="22.5" customHeight="1">
      <c r="B264" s="17"/>
      <c r="C264" s="17"/>
      <c r="D264" s="17"/>
      <c r="E264" s="17"/>
      <c r="F264" s="19"/>
      <c r="G264" s="17"/>
      <c r="H264" s="17"/>
    </row>
    <row r="265" spans="2:8" s="16" customFormat="1" ht="22.5" customHeight="1">
      <c r="B265" s="17"/>
      <c r="C265" s="17"/>
      <c r="D265" s="17"/>
      <c r="E265" s="17"/>
      <c r="F265" s="19"/>
      <c r="G265" s="17"/>
      <c r="H265" s="17"/>
    </row>
    <row r="266" spans="2:8" s="16" customFormat="1" ht="22.5" customHeight="1">
      <c r="B266" s="17"/>
      <c r="C266" s="17"/>
      <c r="D266" s="17"/>
      <c r="E266" s="17"/>
      <c r="F266" s="19"/>
      <c r="G266" s="17"/>
      <c r="H266" s="17"/>
    </row>
    <row r="267" spans="2:8" s="16" customFormat="1" ht="22.5" customHeight="1">
      <c r="B267" s="17"/>
      <c r="C267" s="17"/>
      <c r="D267" s="17"/>
      <c r="E267" s="17"/>
      <c r="F267" s="19"/>
      <c r="G267" s="17"/>
      <c r="H267" s="17"/>
    </row>
    <row r="268" spans="2:8" s="16" customFormat="1" ht="22.5" customHeight="1">
      <c r="B268" s="17"/>
      <c r="C268" s="17"/>
      <c r="D268" s="17"/>
      <c r="E268" s="17"/>
      <c r="F268" s="19"/>
      <c r="G268" s="17"/>
      <c r="H268" s="17"/>
    </row>
    <row r="269" spans="2:8" s="16" customFormat="1" ht="22.5" customHeight="1">
      <c r="B269" s="17"/>
      <c r="C269" s="17"/>
      <c r="D269" s="17"/>
      <c r="E269" s="17"/>
      <c r="F269" s="19"/>
      <c r="G269" s="17"/>
      <c r="H269" s="17"/>
    </row>
    <row r="270" spans="2:8" s="16" customFormat="1" ht="22.5" customHeight="1">
      <c r="B270" s="17"/>
      <c r="C270" s="17"/>
      <c r="D270" s="17"/>
      <c r="E270" s="17"/>
      <c r="F270" s="19"/>
      <c r="G270" s="17"/>
      <c r="H270" s="17"/>
    </row>
    <row r="271" spans="2:8" s="16" customFormat="1" ht="22.5" customHeight="1">
      <c r="B271" s="17"/>
      <c r="C271" s="17"/>
      <c r="D271" s="17"/>
      <c r="E271" s="17"/>
      <c r="F271" s="19"/>
      <c r="G271" s="17"/>
      <c r="H271" s="17"/>
    </row>
    <row r="272" spans="2:8" s="16" customFormat="1" ht="22.5" customHeight="1">
      <c r="B272" s="17"/>
      <c r="C272" s="17"/>
      <c r="D272" s="17"/>
      <c r="E272" s="17"/>
      <c r="F272" s="19"/>
      <c r="G272" s="17"/>
      <c r="H272" s="17"/>
    </row>
    <row r="273" spans="2:8" s="16" customFormat="1" ht="22.5" customHeight="1">
      <c r="B273" s="17"/>
      <c r="C273" s="17"/>
      <c r="D273" s="17"/>
      <c r="E273" s="17"/>
      <c r="F273" s="19"/>
      <c r="G273" s="17"/>
      <c r="H273" s="17"/>
    </row>
    <row r="274" spans="2:8" s="16" customFormat="1" ht="22.5" customHeight="1">
      <c r="B274" s="17"/>
      <c r="C274" s="17"/>
      <c r="D274" s="17"/>
      <c r="E274" s="17"/>
      <c r="F274" s="19"/>
      <c r="G274" s="17"/>
      <c r="H274" s="17"/>
    </row>
    <row r="275" spans="2:8" s="16" customFormat="1" ht="22.5" customHeight="1">
      <c r="B275" s="17"/>
      <c r="C275" s="17"/>
      <c r="D275" s="17"/>
      <c r="E275" s="17"/>
      <c r="F275" s="19"/>
      <c r="G275" s="17"/>
      <c r="H275" s="17"/>
    </row>
    <row r="276" spans="2:8" s="16" customFormat="1" ht="22.5" customHeight="1">
      <c r="B276" s="17"/>
      <c r="C276" s="17"/>
      <c r="D276" s="17"/>
      <c r="E276" s="17"/>
      <c r="F276" s="19"/>
      <c r="G276" s="17"/>
      <c r="H276" s="17"/>
    </row>
    <row r="277" spans="2:8" s="16" customFormat="1" ht="22.5" customHeight="1">
      <c r="B277" s="17"/>
      <c r="C277" s="17"/>
      <c r="D277" s="17"/>
      <c r="E277" s="17"/>
      <c r="F277" s="19"/>
      <c r="G277" s="17"/>
      <c r="H277" s="17"/>
    </row>
    <row r="278" spans="2:8" s="16" customFormat="1" ht="22.5" customHeight="1">
      <c r="B278" s="17"/>
      <c r="C278" s="17"/>
      <c r="D278" s="17"/>
      <c r="E278" s="17"/>
      <c r="F278" s="19"/>
      <c r="G278" s="17"/>
      <c r="H278" s="17"/>
    </row>
    <row r="279" spans="2:8" s="16" customFormat="1" ht="22.5" customHeight="1">
      <c r="B279" s="17"/>
      <c r="C279" s="17"/>
      <c r="D279" s="17"/>
      <c r="E279" s="17"/>
      <c r="F279" s="19"/>
      <c r="G279" s="17"/>
      <c r="H279" s="17"/>
    </row>
    <row r="280" spans="2:8" s="16" customFormat="1" ht="22.5" customHeight="1">
      <c r="B280" s="17"/>
      <c r="C280" s="17"/>
      <c r="D280" s="17"/>
      <c r="E280" s="17"/>
      <c r="F280" s="19"/>
      <c r="G280" s="17"/>
      <c r="H280" s="17"/>
    </row>
    <row r="281" spans="2:8" s="16" customFormat="1" ht="22.5" customHeight="1">
      <c r="B281" s="17"/>
      <c r="C281" s="17"/>
      <c r="D281" s="17"/>
      <c r="E281" s="17"/>
      <c r="F281" s="19"/>
      <c r="G281" s="17"/>
      <c r="H281" s="17"/>
    </row>
    <row r="282" spans="2:8" s="16" customFormat="1" ht="22.5" customHeight="1">
      <c r="B282" s="17"/>
      <c r="C282" s="17"/>
      <c r="D282" s="17"/>
      <c r="E282" s="17"/>
      <c r="F282" s="19"/>
      <c r="G282" s="17"/>
      <c r="H282" s="17"/>
    </row>
    <row r="283" spans="2:8" s="16" customFormat="1" ht="22.5" customHeight="1">
      <c r="B283" s="17"/>
      <c r="C283" s="17"/>
      <c r="D283" s="17"/>
      <c r="E283" s="17"/>
      <c r="F283" s="19"/>
      <c r="G283" s="17"/>
      <c r="H283" s="17"/>
    </row>
    <row r="284" spans="2:8" s="16" customFormat="1" ht="22.5" customHeight="1">
      <c r="B284" s="17"/>
      <c r="C284" s="17"/>
      <c r="D284" s="17"/>
      <c r="E284" s="17"/>
      <c r="F284" s="19"/>
      <c r="G284" s="17"/>
      <c r="H284" s="17"/>
    </row>
    <row r="285" spans="2:8" s="16" customFormat="1" ht="22.5" customHeight="1">
      <c r="B285" s="17"/>
      <c r="C285" s="17"/>
      <c r="D285" s="17"/>
      <c r="E285" s="17"/>
      <c r="F285" s="19"/>
      <c r="G285" s="17"/>
      <c r="H285" s="17"/>
    </row>
    <row r="286" spans="2:8" s="16" customFormat="1" ht="22.5" customHeight="1">
      <c r="B286" s="17"/>
      <c r="C286" s="17"/>
      <c r="D286" s="17"/>
      <c r="E286" s="17"/>
      <c r="F286" s="19"/>
      <c r="G286" s="17"/>
      <c r="H286" s="17"/>
    </row>
    <row r="287" spans="2:8" s="16" customFormat="1" ht="22.5" customHeight="1">
      <c r="B287" s="17"/>
      <c r="C287" s="17"/>
      <c r="D287" s="17"/>
      <c r="E287" s="17"/>
      <c r="F287" s="19"/>
      <c r="G287" s="17"/>
      <c r="H287" s="17"/>
    </row>
    <row r="288" spans="2:8" s="16" customFormat="1" ht="22.5" customHeight="1">
      <c r="B288" s="17"/>
      <c r="C288" s="17"/>
      <c r="D288" s="17"/>
      <c r="E288" s="17"/>
      <c r="F288" s="19"/>
      <c r="G288" s="17"/>
      <c r="H288" s="17"/>
    </row>
    <row r="289" spans="2:8" s="16" customFormat="1" ht="22.5" customHeight="1">
      <c r="B289" s="17"/>
      <c r="C289" s="17"/>
      <c r="D289" s="17"/>
      <c r="E289" s="17"/>
      <c r="F289" s="19"/>
      <c r="G289" s="17"/>
      <c r="H289" s="17"/>
    </row>
    <row r="290" spans="2:8" s="16" customFormat="1" ht="22.5" customHeight="1">
      <c r="B290" s="17"/>
      <c r="C290" s="17"/>
      <c r="D290" s="17"/>
      <c r="E290" s="17"/>
      <c r="F290" s="19"/>
      <c r="G290" s="17"/>
      <c r="H290" s="17"/>
    </row>
    <row r="291" spans="2:8" s="16" customFormat="1" ht="22.5" customHeight="1">
      <c r="B291" s="17"/>
      <c r="C291" s="17"/>
      <c r="D291" s="17"/>
      <c r="E291" s="17"/>
      <c r="F291" s="19"/>
      <c r="G291" s="17"/>
      <c r="H291" s="17"/>
    </row>
    <row r="292" spans="2:8" s="16" customFormat="1" ht="22.5" customHeight="1">
      <c r="B292" s="17"/>
      <c r="C292" s="17"/>
      <c r="D292" s="17"/>
      <c r="E292" s="17"/>
      <c r="F292" s="19"/>
      <c r="G292" s="17"/>
      <c r="H292" s="17"/>
    </row>
    <row r="293" spans="2:8" s="16" customFormat="1" ht="22.5" customHeight="1">
      <c r="B293" s="17"/>
      <c r="C293" s="17"/>
      <c r="D293" s="17"/>
      <c r="E293" s="17"/>
      <c r="F293" s="19"/>
      <c r="G293" s="17"/>
      <c r="H293" s="17"/>
    </row>
    <row r="294" spans="2:8" s="16" customFormat="1" ht="22.5" customHeight="1">
      <c r="B294" s="17"/>
      <c r="C294" s="17"/>
      <c r="D294" s="17"/>
      <c r="E294" s="17"/>
      <c r="F294" s="19"/>
      <c r="G294" s="17"/>
      <c r="H294" s="17"/>
    </row>
    <row r="295" spans="2:8" s="16" customFormat="1" ht="22.5" customHeight="1">
      <c r="B295" s="17"/>
      <c r="C295" s="17"/>
      <c r="D295" s="17"/>
      <c r="E295" s="17"/>
      <c r="F295" s="19"/>
      <c r="G295" s="17"/>
      <c r="H295" s="17"/>
    </row>
    <row r="296" spans="2:8" s="16" customFormat="1" ht="22.5" customHeight="1">
      <c r="B296" s="17"/>
      <c r="C296" s="17"/>
      <c r="D296" s="17"/>
      <c r="E296" s="17"/>
      <c r="F296" s="19"/>
      <c r="G296" s="17"/>
      <c r="H296" s="17"/>
    </row>
    <row r="297" spans="2:8" s="16" customFormat="1" ht="22.5" customHeight="1">
      <c r="B297" s="17"/>
      <c r="C297" s="17"/>
      <c r="D297" s="17"/>
      <c r="E297" s="17"/>
      <c r="F297" s="19"/>
      <c r="G297" s="17"/>
      <c r="H297" s="17"/>
    </row>
    <row r="298" spans="2:8" s="16" customFormat="1" ht="22.5" customHeight="1">
      <c r="B298" s="17"/>
      <c r="C298" s="17"/>
      <c r="D298" s="17"/>
      <c r="E298" s="17"/>
      <c r="F298" s="19"/>
      <c r="G298" s="17"/>
      <c r="H298" s="17"/>
    </row>
    <row r="299" spans="2:8" s="16" customFormat="1" ht="22.5" customHeight="1">
      <c r="B299" s="17"/>
      <c r="C299" s="17"/>
      <c r="D299" s="17"/>
      <c r="E299" s="17"/>
      <c r="F299" s="19"/>
      <c r="G299" s="17"/>
      <c r="H299" s="17"/>
    </row>
    <row r="300" spans="2:8" s="16" customFormat="1" ht="22.5" customHeight="1">
      <c r="B300" s="17"/>
      <c r="C300" s="17"/>
      <c r="D300" s="17"/>
      <c r="E300" s="17"/>
      <c r="F300" s="19"/>
      <c r="G300" s="17"/>
      <c r="H300" s="17"/>
    </row>
    <row r="301" spans="2:8" s="16" customFormat="1" ht="22.5" customHeight="1">
      <c r="B301" s="17"/>
      <c r="C301" s="17"/>
      <c r="D301" s="17"/>
      <c r="E301" s="17"/>
      <c r="F301" s="19"/>
      <c r="G301" s="17"/>
      <c r="H301" s="17"/>
    </row>
    <row r="302" spans="2:8" s="16" customFormat="1" ht="22.5" customHeight="1">
      <c r="B302" s="17"/>
      <c r="C302" s="17"/>
      <c r="D302" s="17"/>
      <c r="E302" s="17"/>
      <c r="F302" s="19"/>
      <c r="G302" s="17"/>
      <c r="H302" s="17"/>
    </row>
    <row r="303" spans="2:8" s="16" customFormat="1" ht="22.5" customHeight="1">
      <c r="B303" s="17"/>
      <c r="C303" s="17"/>
      <c r="D303" s="17"/>
      <c r="E303" s="17"/>
      <c r="F303" s="19"/>
      <c r="G303" s="17"/>
      <c r="H303" s="17"/>
    </row>
    <row r="304" spans="2:8" s="16" customFormat="1" ht="22.5" customHeight="1">
      <c r="B304" s="17"/>
      <c r="C304" s="17"/>
      <c r="D304" s="17"/>
      <c r="E304" s="17"/>
      <c r="F304" s="19"/>
      <c r="G304" s="17"/>
      <c r="H304" s="17"/>
    </row>
    <row r="305" spans="2:8" s="16" customFormat="1" ht="22.5" customHeight="1">
      <c r="B305" s="17"/>
      <c r="C305" s="17"/>
      <c r="D305" s="17"/>
      <c r="E305" s="17"/>
      <c r="F305" s="19"/>
      <c r="G305" s="17"/>
      <c r="H305" s="17"/>
    </row>
    <row r="306" spans="2:8" s="16" customFormat="1" ht="22.5" customHeight="1">
      <c r="B306" s="17"/>
      <c r="C306" s="17"/>
      <c r="D306" s="17"/>
      <c r="E306" s="17"/>
      <c r="F306" s="19"/>
      <c r="G306" s="17"/>
      <c r="H306" s="17"/>
    </row>
    <row r="307" spans="2:8" s="16" customFormat="1" ht="22.5" customHeight="1">
      <c r="B307" s="17"/>
      <c r="C307" s="17"/>
      <c r="D307" s="17"/>
      <c r="E307" s="17"/>
      <c r="F307" s="19"/>
      <c r="G307" s="17"/>
      <c r="H307" s="17"/>
    </row>
    <row r="308" spans="2:8" s="16" customFormat="1" ht="22.5" customHeight="1">
      <c r="B308" s="17"/>
      <c r="C308" s="17"/>
      <c r="D308" s="17"/>
      <c r="E308" s="17"/>
      <c r="F308" s="19"/>
      <c r="G308" s="17"/>
      <c r="H308" s="17"/>
    </row>
    <row r="309" spans="2:8" s="16" customFormat="1" ht="22.5" customHeight="1">
      <c r="B309" s="17"/>
      <c r="C309" s="17"/>
      <c r="D309" s="17"/>
      <c r="E309" s="17"/>
      <c r="F309" s="19"/>
      <c r="G309" s="17"/>
      <c r="H309" s="17"/>
    </row>
    <row r="310" spans="2:8" s="16" customFormat="1" ht="22.5" customHeight="1">
      <c r="B310" s="17"/>
      <c r="C310" s="17"/>
      <c r="D310" s="17"/>
      <c r="E310" s="17"/>
      <c r="F310" s="19"/>
      <c r="G310" s="17"/>
      <c r="H310" s="17"/>
    </row>
    <row r="311" spans="2:8" s="16" customFormat="1" ht="22.5" customHeight="1">
      <c r="B311" s="17"/>
      <c r="C311" s="17"/>
      <c r="D311" s="17"/>
      <c r="E311" s="17"/>
      <c r="F311" s="19"/>
      <c r="G311" s="17"/>
      <c r="H311" s="17"/>
    </row>
    <row r="312" spans="2:8" s="16" customFormat="1" ht="22.5" customHeight="1">
      <c r="B312" s="17"/>
      <c r="C312" s="17"/>
      <c r="D312" s="17"/>
      <c r="E312" s="17"/>
      <c r="F312" s="19"/>
      <c r="G312" s="17"/>
      <c r="H312" s="17"/>
    </row>
    <row r="313" spans="2:8" s="16" customFormat="1" ht="22.5" customHeight="1">
      <c r="B313" s="17"/>
      <c r="C313" s="17"/>
      <c r="D313" s="17"/>
      <c r="E313" s="17"/>
      <c r="F313" s="19"/>
      <c r="G313" s="17"/>
      <c r="H313" s="17"/>
    </row>
    <row r="314" spans="2:8" s="16" customFormat="1" ht="22.5" customHeight="1">
      <c r="B314" s="17"/>
      <c r="C314" s="17"/>
      <c r="D314" s="17"/>
      <c r="E314" s="17"/>
      <c r="F314" s="19"/>
      <c r="G314" s="17"/>
      <c r="H314" s="17"/>
    </row>
    <row r="315" spans="2:8" s="16" customFormat="1" ht="22.5" customHeight="1">
      <c r="B315" s="17"/>
      <c r="C315" s="17"/>
      <c r="D315" s="17"/>
      <c r="E315" s="17"/>
      <c r="F315" s="19"/>
      <c r="G315" s="17"/>
      <c r="H315" s="17"/>
    </row>
    <row r="316" spans="2:8" s="16" customFormat="1" ht="22.5" customHeight="1">
      <c r="B316" s="17"/>
      <c r="C316" s="17"/>
      <c r="D316" s="17"/>
      <c r="E316" s="17"/>
      <c r="F316" s="19"/>
      <c r="G316" s="17"/>
      <c r="H316" s="17"/>
    </row>
    <row r="317" spans="2:8" s="16" customFormat="1" ht="22.5" customHeight="1">
      <c r="B317" s="17"/>
      <c r="C317" s="17"/>
      <c r="D317" s="17"/>
      <c r="E317" s="17"/>
      <c r="F317" s="19"/>
      <c r="G317" s="17"/>
      <c r="H317" s="17"/>
    </row>
    <row r="318" spans="2:8" s="16" customFormat="1" ht="22.5" customHeight="1">
      <c r="B318" s="17"/>
      <c r="C318" s="17"/>
      <c r="D318" s="17"/>
      <c r="E318" s="17"/>
      <c r="F318" s="19"/>
      <c r="G318" s="17"/>
      <c r="H318" s="17"/>
    </row>
    <row r="319" spans="2:8" s="16" customFormat="1" ht="22.5" customHeight="1">
      <c r="B319" s="17"/>
      <c r="C319" s="17"/>
      <c r="D319" s="17"/>
      <c r="E319" s="17"/>
      <c r="F319" s="19"/>
      <c r="G319" s="17"/>
      <c r="H319" s="17"/>
    </row>
    <row r="320" spans="2:8" s="16" customFormat="1" ht="22.5" customHeight="1">
      <c r="B320" s="17"/>
      <c r="C320" s="17"/>
      <c r="D320" s="17"/>
      <c r="E320" s="17"/>
      <c r="F320" s="19"/>
      <c r="G320" s="17"/>
      <c r="H320" s="17"/>
    </row>
    <row r="321" spans="2:8" s="16" customFormat="1" ht="22.5" customHeight="1">
      <c r="B321" s="17"/>
      <c r="C321" s="17"/>
      <c r="D321" s="17"/>
      <c r="E321" s="17"/>
      <c r="F321" s="19"/>
      <c r="G321" s="17"/>
      <c r="H321" s="17"/>
    </row>
    <row r="322" spans="2:8" s="16" customFormat="1" ht="22.5" customHeight="1">
      <c r="B322" s="17"/>
      <c r="C322" s="17"/>
      <c r="D322" s="17"/>
      <c r="E322" s="17"/>
      <c r="F322" s="19"/>
      <c r="G322" s="17"/>
      <c r="H322" s="17"/>
    </row>
    <row r="323" spans="2:8" s="16" customFormat="1" ht="22.5" customHeight="1">
      <c r="B323" s="17"/>
      <c r="C323" s="17"/>
      <c r="D323" s="17"/>
      <c r="E323" s="17"/>
      <c r="F323" s="19"/>
      <c r="G323" s="17"/>
      <c r="H323" s="17"/>
    </row>
    <row r="324" spans="2:8" s="16" customFormat="1" ht="22.5" customHeight="1">
      <c r="B324" s="17"/>
      <c r="C324" s="17"/>
      <c r="D324" s="17"/>
      <c r="E324" s="17"/>
      <c r="F324" s="19"/>
      <c r="G324" s="17"/>
      <c r="H324" s="17"/>
    </row>
    <row r="325" spans="2:8" s="16" customFormat="1" ht="22.5" customHeight="1">
      <c r="B325" s="17"/>
      <c r="C325" s="17"/>
      <c r="D325" s="17"/>
      <c r="E325" s="17"/>
      <c r="F325" s="19"/>
      <c r="G325" s="17"/>
      <c r="H325" s="17"/>
    </row>
    <row r="326" spans="2:8" s="16" customFormat="1" ht="22.5" customHeight="1">
      <c r="B326" s="17"/>
      <c r="C326" s="17"/>
      <c r="D326" s="17"/>
      <c r="E326" s="17"/>
      <c r="F326" s="19"/>
      <c r="G326" s="17"/>
      <c r="H326" s="17"/>
    </row>
    <row r="327" spans="2:8" s="16" customFormat="1" ht="22.5" customHeight="1">
      <c r="B327" s="17"/>
      <c r="C327" s="17"/>
      <c r="D327" s="17"/>
      <c r="E327" s="17"/>
      <c r="F327" s="19"/>
      <c r="G327" s="17"/>
      <c r="H327" s="17"/>
    </row>
    <row r="328" spans="2:8" s="16" customFormat="1" ht="22.5" customHeight="1">
      <c r="B328" s="17"/>
      <c r="C328" s="17"/>
      <c r="D328" s="17"/>
      <c r="E328" s="17"/>
      <c r="F328" s="19"/>
      <c r="G328" s="17"/>
      <c r="H328" s="17"/>
    </row>
    <row r="329" spans="2:8" s="16" customFormat="1" ht="22.5" customHeight="1">
      <c r="B329" s="17"/>
      <c r="C329" s="17"/>
      <c r="D329" s="17"/>
      <c r="E329" s="17"/>
      <c r="F329" s="19"/>
      <c r="G329" s="17"/>
      <c r="H329" s="17"/>
    </row>
    <row r="330" spans="2:8" s="16" customFormat="1" ht="22.5" customHeight="1">
      <c r="B330" s="17"/>
      <c r="C330" s="17"/>
      <c r="D330" s="17"/>
      <c r="E330" s="17"/>
      <c r="F330" s="19"/>
      <c r="G330" s="17"/>
      <c r="H330" s="17"/>
    </row>
    <row r="331" spans="2:8" s="16" customFormat="1" ht="22.5" customHeight="1">
      <c r="B331" s="17"/>
      <c r="C331" s="17"/>
      <c r="D331" s="17"/>
      <c r="E331" s="17"/>
      <c r="F331" s="19"/>
      <c r="G331" s="17"/>
      <c r="H331" s="17"/>
    </row>
    <row r="332" spans="2:8" s="16" customFormat="1" ht="22.5" customHeight="1">
      <c r="B332" s="17"/>
      <c r="C332" s="17"/>
      <c r="D332" s="17"/>
      <c r="E332" s="17"/>
      <c r="F332" s="19"/>
      <c r="G332" s="17"/>
      <c r="H332" s="17"/>
    </row>
    <row r="333" spans="2:8" s="16" customFormat="1" ht="22.5" customHeight="1">
      <c r="B333" s="17"/>
      <c r="C333" s="17"/>
      <c r="D333" s="17"/>
      <c r="E333" s="17"/>
      <c r="F333" s="19"/>
      <c r="G333" s="17"/>
      <c r="H333" s="17"/>
    </row>
    <row r="334" spans="2:8" s="16" customFormat="1" ht="22.5" customHeight="1">
      <c r="B334" s="17"/>
      <c r="C334" s="17"/>
      <c r="D334" s="17"/>
      <c r="E334" s="17"/>
      <c r="F334" s="19"/>
      <c r="G334" s="17"/>
      <c r="H334" s="17"/>
    </row>
    <row r="335" spans="2:8" s="16" customFormat="1" ht="22.5" customHeight="1">
      <c r="B335" s="17"/>
      <c r="C335" s="17"/>
      <c r="D335" s="17"/>
      <c r="E335" s="17"/>
      <c r="F335" s="19"/>
      <c r="G335" s="17"/>
      <c r="H335" s="17"/>
    </row>
    <row r="336" spans="2:8" s="16" customFormat="1" ht="22.5" customHeight="1">
      <c r="B336" s="17"/>
      <c r="C336" s="17"/>
      <c r="D336" s="17"/>
      <c r="E336" s="17"/>
      <c r="F336" s="19"/>
      <c r="G336" s="17"/>
      <c r="H336" s="17"/>
    </row>
    <row r="337" spans="2:8" s="16" customFormat="1" ht="22.5" customHeight="1">
      <c r="B337" s="17"/>
      <c r="C337" s="17"/>
      <c r="D337" s="17"/>
      <c r="E337" s="17"/>
      <c r="F337" s="19"/>
      <c r="G337" s="17"/>
      <c r="H337" s="17"/>
    </row>
    <row r="338" spans="2:8" s="16" customFormat="1" ht="22.5" customHeight="1">
      <c r="B338" s="17"/>
      <c r="C338" s="17"/>
      <c r="D338" s="17"/>
      <c r="E338" s="17"/>
      <c r="F338" s="19"/>
      <c r="G338" s="17"/>
      <c r="H338" s="17"/>
    </row>
    <row r="339" spans="2:8" s="16" customFormat="1" ht="22.5" customHeight="1">
      <c r="B339" s="17"/>
      <c r="C339" s="17"/>
      <c r="D339" s="17"/>
      <c r="E339" s="17"/>
      <c r="F339" s="19"/>
      <c r="G339" s="17"/>
      <c r="H339" s="17"/>
    </row>
    <row r="340" spans="2:8" s="16" customFormat="1" ht="22.5" customHeight="1">
      <c r="B340" s="17"/>
      <c r="C340" s="17"/>
      <c r="D340" s="17"/>
      <c r="E340" s="17"/>
      <c r="F340" s="19"/>
      <c r="G340" s="17"/>
      <c r="H340" s="17"/>
    </row>
    <row r="341" spans="2:8" s="16" customFormat="1" ht="22.5" customHeight="1">
      <c r="B341" s="17"/>
      <c r="C341" s="17"/>
      <c r="D341" s="17"/>
      <c r="E341" s="17"/>
      <c r="F341" s="19"/>
      <c r="G341" s="17"/>
      <c r="H341" s="17"/>
    </row>
    <row r="342" spans="2:8" s="16" customFormat="1" ht="22.5" customHeight="1">
      <c r="B342" s="17"/>
      <c r="C342" s="17"/>
      <c r="D342" s="17"/>
      <c r="E342" s="17"/>
      <c r="F342" s="19"/>
      <c r="G342" s="17"/>
      <c r="H342" s="17"/>
    </row>
    <row r="343" spans="2:8" s="16" customFormat="1" ht="22.5" customHeight="1">
      <c r="B343" s="17"/>
      <c r="C343" s="17"/>
      <c r="D343" s="17"/>
      <c r="E343" s="17"/>
      <c r="F343" s="19"/>
      <c r="G343" s="17"/>
      <c r="H343" s="17"/>
    </row>
    <row r="344" spans="2:8" s="16" customFormat="1" ht="22.5" customHeight="1">
      <c r="B344" s="17"/>
      <c r="C344" s="17"/>
      <c r="D344" s="17"/>
      <c r="E344" s="17"/>
      <c r="F344" s="19"/>
      <c r="G344" s="17"/>
      <c r="H344" s="17"/>
    </row>
    <row r="345" spans="2:8" s="16" customFormat="1" ht="22.5" customHeight="1">
      <c r="B345" s="17"/>
      <c r="C345" s="17"/>
      <c r="D345" s="17"/>
      <c r="E345" s="17"/>
      <c r="F345" s="19"/>
      <c r="G345" s="17"/>
      <c r="H345" s="17"/>
    </row>
    <row r="346" spans="2:8" s="16" customFormat="1" ht="22.5" customHeight="1">
      <c r="B346" s="17"/>
      <c r="C346" s="17"/>
      <c r="D346" s="17"/>
      <c r="E346" s="17"/>
      <c r="F346" s="19"/>
      <c r="G346" s="17"/>
      <c r="H346" s="17"/>
    </row>
    <row r="347" spans="2:8" s="16" customFormat="1" ht="22.5" customHeight="1">
      <c r="B347" s="17"/>
      <c r="C347" s="17"/>
      <c r="D347" s="17"/>
      <c r="E347" s="17"/>
      <c r="F347" s="19"/>
      <c r="G347" s="17"/>
      <c r="H347" s="17"/>
    </row>
    <row r="348" spans="2:8" s="16" customFormat="1" ht="22.5" customHeight="1">
      <c r="B348" s="17"/>
      <c r="C348" s="17"/>
      <c r="D348" s="17"/>
      <c r="E348" s="17"/>
      <c r="F348" s="19"/>
      <c r="G348" s="17"/>
      <c r="H348" s="17"/>
    </row>
    <row r="349" spans="2:8" s="16" customFormat="1" ht="22.5" customHeight="1">
      <c r="B349" s="17"/>
      <c r="C349" s="17"/>
      <c r="D349" s="17"/>
      <c r="E349" s="17"/>
      <c r="F349" s="19"/>
      <c r="G349" s="17"/>
      <c r="H349" s="17"/>
    </row>
    <row r="350" spans="2:8" s="16" customFormat="1" ht="22.5" customHeight="1">
      <c r="B350" s="17"/>
      <c r="C350" s="17"/>
      <c r="D350" s="17"/>
      <c r="E350" s="17"/>
      <c r="F350" s="19"/>
      <c r="G350" s="17"/>
      <c r="H350" s="17"/>
    </row>
    <row r="351" spans="2:8" s="16" customFormat="1" ht="22.5" customHeight="1">
      <c r="B351" s="17"/>
      <c r="C351" s="17"/>
      <c r="D351" s="17"/>
      <c r="E351" s="17"/>
      <c r="F351" s="19"/>
      <c r="G351" s="17"/>
      <c r="H351" s="17"/>
    </row>
    <row r="352" spans="2:8" s="16" customFormat="1" ht="22.5" customHeight="1">
      <c r="B352" s="17"/>
      <c r="C352" s="17"/>
      <c r="D352" s="17"/>
      <c r="E352" s="17"/>
      <c r="F352" s="19"/>
      <c r="G352" s="17"/>
      <c r="H352" s="17"/>
    </row>
    <row r="353" spans="2:8" s="16" customFormat="1" ht="22.5" customHeight="1">
      <c r="B353" s="17"/>
      <c r="C353" s="17"/>
      <c r="D353" s="17"/>
      <c r="E353" s="17"/>
      <c r="F353" s="19"/>
      <c r="G353" s="17"/>
      <c r="H353" s="17"/>
    </row>
    <row r="354" spans="2:8" s="16" customFormat="1" ht="22.5" customHeight="1">
      <c r="B354" s="17"/>
      <c r="C354" s="17"/>
      <c r="D354" s="17"/>
      <c r="E354" s="17"/>
      <c r="F354" s="19"/>
      <c r="G354" s="17"/>
      <c r="H354" s="17"/>
    </row>
    <row r="355" spans="2:8" s="16" customFormat="1" ht="22.5" customHeight="1">
      <c r="B355" s="17"/>
      <c r="C355" s="17"/>
      <c r="D355" s="17"/>
      <c r="E355" s="17"/>
      <c r="F355" s="19"/>
      <c r="G355" s="17"/>
      <c r="H355" s="17"/>
    </row>
    <row r="356" spans="2:8" s="16" customFormat="1" ht="22.5" customHeight="1">
      <c r="B356" s="17"/>
      <c r="C356" s="17"/>
      <c r="D356" s="17"/>
      <c r="E356" s="17"/>
      <c r="F356" s="19"/>
      <c r="G356" s="17"/>
      <c r="H356" s="17"/>
    </row>
    <row r="357" spans="2:8" s="16" customFormat="1" ht="22.5" customHeight="1">
      <c r="B357" s="17"/>
      <c r="C357" s="17"/>
      <c r="D357" s="17"/>
      <c r="E357" s="17"/>
      <c r="F357" s="19"/>
      <c r="G357" s="17"/>
      <c r="H357" s="17"/>
    </row>
    <row r="358" spans="2:8" s="16" customFormat="1" ht="22.5" customHeight="1">
      <c r="B358" s="17"/>
      <c r="C358" s="17"/>
      <c r="D358" s="17"/>
      <c r="E358" s="17"/>
      <c r="F358" s="19"/>
      <c r="G358" s="17"/>
      <c r="H358" s="17"/>
    </row>
    <row r="359" spans="2:8" s="16" customFormat="1" ht="22.5" customHeight="1">
      <c r="B359" s="17"/>
      <c r="C359" s="17"/>
      <c r="D359" s="17"/>
      <c r="E359" s="17"/>
      <c r="F359" s="19"/>
      <c r="G359" s="17"/>
      <c r="H359" s="17"/>
    </row>
    <row r="360" spans="2:8" s="16" customFormat="1" ht="22.5" customHeight="1">
      <c r="B360" s="17"/>
      <c r="C360" s="17"/>
      <c r="D360" s="17"/>
      <c r="E360" s="17"/>
      <c r="F360" s="19"/>
      <c r="G360" s="17"/>
      <c r="H360" s="17"/>
    </row>
    <row r="361" spans="2:8" s="16" customFormat="1" ht="22.5" customHeight="1">
      <c r="B361" s="17"/>
      <c r="C361" s="17"/>
      <c r="D361" s="17"/>
      <c r="E361" s="17"/>
      <c r="F361" s="19"/>
      <c r="G361" s="17"/>
      <c r="H361" s="17"/>
    </row>
    <row r="362" spans="2:8" s="16" customFormat="1" ht="22.5" customHeight="1">
      <c r="B362" s="17"/>
      <c r="C362" s="17"/>
      <c r="D362" s="17"/>
      <c r="E362" s="17"/>
      <c r="F362" s="19"/>
      <c r="G362" s="17"/>
      <c r="H362" s="17"/>
    </row>
    <row r="363" spans="2:8" s="16" customFormat="1" ht="22.5" customHeight="1">
      <c r="B363" s="17"/>
      <c r="C363" s="17"/>
      <c r="D363" s="17"/>
      <c r="E363" s="17"/>
      <c r="F363" s="19"/>
      <c r="G363" s="17"/>
      <c r="H363" s="17"/>
    </row>
    <row r="364" spans="2:8" s="16" customFormat="1" ht="22.5" customHeight="1">
      <c r="B364" s="17"/>
      <c r="C364" s="17"/>
      <c r="D364" s="17"/>
      <c r="E364" s="17"/>
      <c r="F364" s="19"/>
      <c r="G364" s="17"/>
      <c r="H364" s="17"/>
    </row>
    <row r="365" spans="2:8" s="16" customFormat="1" ht="22.5" customHeight="1">
      <c r="B365" s="17"/>
      <c r="C365" s="17"/>
      <c r="D365" s="17"/>
      <c r="E365" s="17"/>
      <c r="F365" s="19"/>
      <c r="G365" s="17"/>
      <c r="H365" s="17"/>
    </row>
    <row r="366" spans="2:8" s="16" customFormat="1" ht="22.5" customHeight="1">
      <c r="B366" s="17"/>
      <c r="C366" s="17"/>
      <c r="D366" s="17"/>
      <c r="E366" s="17"/>
      <c r="F366" s="19"/>
      <c r="G366" s="17"/>
      <c r="H366" s="17"/>
    </row>
    <row r="367" spans="2:8" s="16" customFormat="1" ht="22.5" customHeight="1">
      <c r="B367" s="17"/>
      <c r="C367" s="17"/>
      <c r="D367" s="17"/>
      <c r="E367" s="17"/>
      <c r="F367" s="19"/>
      <c r="G367" s="17"/>
      <c r="H367" s="17"/>
    </row>
    <row r="368" spans="2:8" s="16" customFormat="1" ht="22.5" customHeight="1">
      <c r="B368" s="17"/>
      <c r="C368" s="17"/>
      <c r="D368" s="17"/>
      <c r="E368" s="17"/>
      <c r="F368" s="19"/>
      <c r="G368" s="17"/>
      <c r="H368" s="17"/>
    </row>
    <row r="369" spans="2:8" s="16" customFormat="1" ht="22.5" customHeight="1">
      <c r="B369" s="17"/>
      <c r="C369" s="17"/>
      <c r="D369" s="17"/>
      <c r="E369" s="17"/>
      <c r="F369" s="19"/>
      <c r="G369" s="17"/>
      <c r="H369" s="17"/>
    </row>
    <row r="370" spans="2:8" s="16" customFormat="1" ht="22.5" customHeight="1">
      <c r="B370" s="17"/>
      <c r="C370" s="17"/>
      <c r="D370" s="17"/>
      <c r="E370" s="17"/>
      <c r="F370" s="19"/>
      <c r="G370" s="17"/>
      <c r="H370" s="17"/>
    </row>
    <row r="371" spans="2:8" s="16" customFormat="1" ht="22.5" customHeight="1">
      <c r="B371" s="17"/>
      <c r="C371" s="17"/>
      <c r="D371" s="17"/>
      <c r="E371" s="17"/>
      <c r="F371" s="19"/>
      <c r="G371" s="17"/>
      <c r="H371" s="17"/>
    </row>
    <row r="372" spans="2:8" s="16" customFormat="1" ht="22.5" customHeight="1">
      <c r="B372" s="17"/>
      <c r="C372" s="17"/>
      <c r="D372" s="17"/>
      <c r="E372" s="17"/>
      <c r="F372" s="19"/>
      <c r="G372" s="17"/>
      <c r="H372" s="17"/>
    </row>
    <row r="373" spans="2:8" s="16" customFormat="1" ht="22.5" customHeight="1">
      <c r="B373" s="17"/>
      <c r="C373" s="17"/>
      <c r="D373" s="17"/>
      <c r="E373" s="17"/>
      <c r="F373" s="19"/>
      <c r="G373" s="17"/>
      <c r="H373" s="17"/>
    </row>
    <row r="374" spans="2:8" s="16" customFormat="1" ht="22.5" customHeight="1">
      <c r="B374" s="17"/>
      <c r="C374" s="17"/>
      <c r="D374" s="17"/>
      <c r="E374" s="17"/>
      <c r="F374" s="19"/>
      <c r="G374" s="17"/>
      <c r="H374" s="17"/>
    </row>
    <row r="375" spans="2:8" s="16" customFormat="1" ht="22.5" customHeight="1">
      <c r="B375" s="17"/>
      <c r="C375" s="17"/>
      <c r="D375" s="17"/>
      <c r="E375" s="17"/>
      <c r="F375" s="19"/>
      <c r="G375" s="17"/>
      <c r="H375" s="17"/>
    </row>
    <row r="376" spans="2:8" s="16" customFormat="1" ht="22.5" customHeight="1">
      <c r="B376" s="17"/>
      <c r="C376" s="17"/>
      <c r="D376" s="17"/>
      <c r="E376" s="17"/>
      <c r="F376" s="19"/>
      <c r="G376" s="17"/>
      <c r="H376" s="17"/>
    </row>
    <row r="377" spans="2:8" s="16" customFormat="1" ht="22.5" customHeight="1">
      <c r="B377" s="17"/>
      <c r="C377" s="17"/>
      <c r="D377" s="17"/>
      <c r="E377" s="17"/>
      <c r="F377" s="19"/>
      <c r="G377" s="17"/>
      <c r="H377" s="17"/>
    </row>
    <row r="378" spans="2:8" s="16" customFormat="1" ht="22.5" customHeight="1">
      <c r="B378" s="17"/>
      <c r="C378" s="17"/>
      <c r="D378" s="17"/>
      <c r="E378" s="17"/>
      <c r="F378" s="19"/>
      <c r="G378" s="17"/>
      <c r="H378" s="17"/>
    </row>
    <row r="379" spans="2:8" s="16" customFormat="1" ht="22.5" customHeight="1">
      <c r="B379" s="17"/>
      <c r="C379" s="17"/>
      <c r="D379" s="17"/>
      <c r="E379" s="17"/>
      <c r="F379" s="19"/>
      <c r="G379" s="17"/>
      <c r="H379" s="17"/>
    </row>
    <row r="380" spans="2:8" s="16" customFormat="1" ht="22.5" customHeight="1">
      <c r="B380" s="17"/>
      <c r="C380" s="17"/>
      <c r="D380" s="17"/>
      <c r="E380" s="17"/>
      <c r="F380" s="19"/>
      <c r="G380" s="17"/>
      <c r="H380" s="17"/>
    </row>
    <row r="381" spans="2:8" s="16" customFormat="1" ht="22.5" customHeight="1">
      <c r="B381" s="17"/>
      <c r="C381" s="17"/>
      <c r="D381" s="17"/>
      <c r="E381" s="17"/>
      <c r="F381" s="19"/>
      <c r="G381" s="17"/>
      <c r="H381" s="17"/>
    </row>
    <row r="382" spans="2:8" s="16" customFormat="1" ht="22.5" customHeight="1">
      <c r="B382" s="17"/>
      <c r="C382" s="17"/>
      <c r="D382" s="17"/>
      <c r="E382" s="17"/>
      <c r="F382" s="19"/>
      <c r="G382" s="17"/>
      <c r="H382" s="17"/>
    </row>
    <row r="383" spans="2:8" s="16" customFormat="1" ht="22.5" customHeight="1">
      <c r="B383" s="17"/>
      <c r="C383" s="17"/>
      <c r="D383" s="17"/>
      <c r="E383" s="17"/>
      <c r="F383" s="19"/>
      <c r="G383" s="17"/>
      <c r="H383" s="17"/>
    </row>
    <row r="384" spans="2:8" s="16" customFormat="1" ht="22.5" customHeight="1">
      <c r="B384" s="17"/>
      <c r="C384" s="17"/>
      <c r="D384" s="17"/>
      <c r="E384" s="17"/>
      <c r="F384" s="19"/>
      <c r="G384" s="17"/>
      <c r="H384" s="17"/>
    </row>
    <row r="385" spans="2:8" s="16" customFormat="1" ht="22.5" customHeight="1">
      <c r="B385" s="17"/>
      <c r="C385" s="17"/>
      <c r="D385" s="17"/>
      <c r="E385" s="17"/>
      <c r="F385" s="19"/>
      <c r="G385" s="17"/>
      <c r="H385" s="17"/>
    </row>
    <row r="386" spans="2:8" s="16" customFormat="1" ht="22.5" customHeight="1">
      <c r="B386" s="17"/>
      <c r="C386" s="17"/>
      <c r="D386" s="17"/>
      <c r="E386" s="17"/>
      <c r="F386" s="19"/>
      <c r="G386" s="17"/>
      <c r="H386" s="17"/>
    </row>
    <row r="387" spans="2:8" s="16" customFormat="1" ht="22.5" customHeight="1">
      <c r="B387" s="17"/>
      <c r="C387" s="17"/>
      <c r="D387" s="17"/>
      <c r="E387" s="17"/>
      <c r="F387" s="19"/>
      <c r="G387" s="17"/>
      <c r="H387" s="17"/>
    </row>
    <row r="388" spans="2:8" s="16" customFormat="1" ht="22.5" customHeight="1">
      <c r="B388" s="17"/>
      <c r="C388" s="17"/>
      <c r="D388" s="17"/>
      <c r="E388" s="17"/>
      <c r="F388" s="19"/>
      <c r="G388" s="17"/>
      <c r="H388" s="17"/>
    </row>
    <row r="389" spans="2:8" s="16" customFormat="1" ht="22.5" customHeight="1">
      <c r="B389" s="17"/>
      <c r="C389" s="17"/>
      <c r="D389" s="17"/>
      <c r="E389" s="17"/>
      <c r="F389" s="19"/>
      <c r="G389" s="17"/>
      <c r="H389" s="17"/>
    </row>
    <row r="390" spans="2:8" s="16" customFormat="1" ht="22.5" customHeight="1">
      <c r="B390" s="17"/>
      <c r="C390" s="17"/>
      <c r="D390" s="17"/>
      <c r="E390" s="17"/>
      <c r="F390" s="19"/>
      <c r="G390" s="17"/>
      <c r="H390" s="17"/>
    </row>
    <row r="391" spans="2:8" s="16" customFormat="1" ht="22.5" customHeight="1">
      <c r="B391" s="17"/>
      <c r="C391" s="17"/>
      <c r="D391" s="17"/>
      <c r="E391" s="17"/>
      <c r="F391" s="19"/>
      <c r="G391" s="17"/>
      <c r="H391" s="17"/>
    </row>
    <row r="392" spans="2:8" s="16" customFormat="1" ht="22.5" customHeight="1">
      <c r="B392" s="17"/>
      <c r="C392" s="17"/>
      <c r="D392" s="17"/>
      <c r="E392" s="17"/>
      <c r="F392" s="19"/>
      <c r="G392" s="17"/>
      <c r="H392" s="17"/>
    </row>
    <row r="393" spans="2:8" s="16" customFormat="1" ht="22.5" customHeight="1">
      <c r="B393" s="17"/>
      <c r="C393" s="17"/>
      <c r="D393" s="17"/>
      <c r="E393" s="17"/>
      <c r="F393" s="19"/>
      <c r="G393" s="17"/>
      <c r="H393" s="17"/>
    </row>
    <row r="394" spans="2:8" s="16" customFormat="1" ht="22.5" customHeight="1">
      <c r="B394" s="17"/>
      <c r="C394" s="17"/>
      <c r="D394" s="17"/>
      <c r="E394" s="17"/>
      <c r="F394" s="19"/>
      <c r="G394" s="17"/>
      <c r="H394" s="17"/>
    </row>
    <row r="395" spans="2:8" s="16" customFormat="1" ht="22.5" customHeight="1">
      <c r="B395" s="17"/>
      <c r="C395" s="17"/>
      <c r="D395" s="17"/>
      <c r="E395" s="17"/>
      <c r="F395" s="19"/>
      <c r="G395" s="17"/>
      <c r="H395" s="17"/>
    </row>
    <row r="396" spans="2:8" s="16" customFormat="1" ht="22.5" customHeight="1">
      <c r="B396" s="17"/>
      <c r="C396" s="17"/>
      <c r="D396" s="17"/>
      <c r="E396" s="17"/>
      <c r="F396" s="19"/>
      <c r="G396" s="17"/>
      <c r="H396" s="17"/>
    </row>
    <row r="397" spans="2:8" s="16" customFormat="1" ht="22.5" customHeight="1">
      <c r="B397" s="17"/>
      <c r="C397" s="17"/>
      <c r="D397" s="17"/>
      <c r="E397" s="17"/>
      <c r="F397" s="19"/>
      <c r="G397" s="17"/>
      <c r="H397" s="17"/>
    </row>
    <row r="398" spans="2:8" s="16" customFormat="1" ht="22.5" customHeight="1">
      <c r="B398" s="17"/>
      <c r="C398" s="17"/>
      <c r="D398" s="17"/>
      <c r="E398" s="17"/>
      <c r="F398" s="19"/>
      <c r="G398" s="17"/>
      <c r="H398" s="17"/>
    </row>
    <row r="399" spans="2:8" s="16" customFormat="1" ht="22.5" customHeight="1">
      <c r="B399" s="17"/>
      <c r="C399" s="17"/>
      <c r="D399" s="17"/>
      <c r="E399" s="17"/>
      <c r="F399" s="19"/>
      <c r="G399" s="17"/>
      <c r="H399" s="17"/>
    </row>
    <row r="400" spans="2:8" s="16" customFormat="1" ht="22.5" customHeight="1">
      <c r="B400" s="17"/>
      <c r="C400" s="17"/>
      <c r="D400" s="17"/>
      <c r="E400" s="17"/>
      <c r="F400" s="19"/>
      <c r="G400" s="17"/>
      <c r="H400" s="17"/>
    </row>
    <row r="401" spans="2:8" s="16" customFormat="1" ht="22.5" customHeight="1">
      <c r="B401" s="17"/>
      <c r="C401" s="17"/>
      <c r="D401" s="17"/>
      <c r="E401" s="17"/>
      <c r="F401" s="19"/>
      <c r="G401" s="17"/>
      <c r="H401" s="17"/>
    </row>
    <row r="402" spans="2:8" s="16" customFormat="1" ht="22.5" customHeight="1">
      <c r="B402" s="17"/>
      <c r="C402" s="17"/>
      <c r="D402" s="17"/>
      <c r="E402" s="17"/>
      <c r="F402" s="19"/>
      <c r="G402" s="17"/>
      <c r="H402" s="17"/>
    </row>
    <row r="403" spans="2:8" s="16" customFormat="1" ht="22.5" customHeight="1">
      <c r="B403" s="17"/>
      <c r="C403" s="17"/>
      <c r="D403" s="17"/>
      <c r="E403" s="17"/>
      <c r="F403" s="19"/>
      <c r="G403" s="17"/>
      <c r="H403" s="17"/>
    </row>
    <row r="404" spans="2:8" s="16" customFormat="1" ht="22.5" customHeight="1">
      <c r="B404" s="17"/>
      <c r="C404" s="17"/>
      <c r="D404" s="17"/>
      <c r="E404" s="17"/>
      <c r="F404" s="19"/>
      <c r="G404" s="17"/>
      <c r="H404" s="17"/>
    </row>
    <row r="405" spans="2:8" s="16" customFormat="1" ht="22.5" customHeight="1">
      <c r="B405" s="17"/>
      <c r="C405" s="17"/>
      <c r="D405" s="17"/>
      <c r="E405" s="17"/>
      <c r="F405" s="19"/>
      <c r="G405" s="17"/>
      <c r="H405" s="17"/>
    </row>
    <row r="406" spans="2:8" s="16" customFormat="1" ht="22.5" customHeight="1">
      <c r="B406" s="17"/>
      <c r="C406" s="17"/>
      <c r="D406" s="17"/>
      <c r="E406" s="17"/>
      <c r="F406" s="19"/>
      <c r="G406" s="17"/>
      <c r="H406" s="17"/>
    </row>
    <row r="407" spans="2:8" s="16" customFormat="1" ht="22.5" customHeight="1">
      <c r="B407" s="17"/>
      <c r="C407" s="17"/>
      <c r="D407" s="17"/>
      <c r="E407" s="17"/>
      <c r="F407" s="19"/>
      <c r="G407" s="17"/>
      <c r="H407" s="17"/>
    </row>
    <row r="408" spans="2:8" s="16" customFormat="1" ht="22.5" customHeight="1">
      <c r="B408" s="17"/>
      <c r="C408" s="17"/>
      <c r="D408" s="17"/>
      <c r="E408" s="17"/>
      <c r="F408" s="19"/>
      <c r="G408" s="17"/>
      <c r="H408" s="17"/>
    </row>
    <row r="409" spans="2:8" s="16" customFormat="1" ht="22.5" customHeight="1">
      <c r="B409" s="17"/>
      <c r="C409" s="17"/>
      <c r="D409" s="17"/>
      <c r="E409" s="17"/>
      <c r="F409" s="19"/>
      <c r="G409" s="17"/>
      <c r="H409" s="17"/>
    </row>
    <row r="410" spans="2:8" s="16" customFormat="1" ht="22.5" customHeight="1">
      <c r="B410" s="17"/>
      <c r="C410" s="17"/>
      <c r="D410" s="17"/>
      <c r="E410" s="17"/>
      <c r="F410" s="19"/>
      <c r="G410" s="17"/>
      <c r="H410" s="17"/>
    </row>
    <row r="411" spans="2:8" s="16" customFormat="1" ht="22.5" customHeight="1">
      <c r="B411" s="17"/>
      <c r="C411" s="17"/>
      <c r="D411" s="17"/>
      <c r="E411" s="17"/>
      <c r="F411" s="19"/>
      <c r="G411" s="17"/>
      <c r="H411" s="17"/>
    </row>
    <row r="412" spans="2:8" s="16" customFormat="1" ht="22.5" customHeight="1">
      <c r="B412" s="17"/>
      <c r="C412" s="17"/>
      <c r="D412" s="17"/>
      <c r="E412" s="17"/>
      <c r="F412" s="19"/>
      <c r="G412" s="17"/>
      <c r="H412" s="17"/>
    </row>
    <row r="413" spans="2:8" s="16" customFormat="1" ht="22.5" customHeight="1">
      <c r="B413" s="17"/>
      <c r="C413" s="17"/>
      <c r="D413" s="17"/>
      <c r="E413" s="17"/>
      <c r="F413" s="19"/>
      <c r="G413" s="17"/>
      <c r="H413" s="17"/>
    </row>
    <row r="414" spans="2:8" s="16" customFormat="1" ht="22.5" customHeight="1">
      <c r="B414" s="17"/>
      <c r="C414" s="17"/>
      <c r="D414" s="17"/>
      <c r="E414" s="17"/>
      <c r="F414" s="19"/>
      <c r="G414" s="17"/>
      <c r="H414" s="17"/>
    </row>
    <row r="415" spans="2:8" s="16" customFormat="1" ht="22.5" customHeight="1">
      <c r="B415" s="17"/>
      <c r="C415" s="17"/>
      <c r="D415" s="17"/>
      <c r="E415" s="17"/>
      <c r="F415" s="19"/>
      <c r="G415" s="17"/>
      <c r="H415" s="17"/>
    </row>
    <row r="416" spans="2:8" s="16" customFormat="1" ht="22.5" customHeight="1">
      <c r="B416" s="17"/>
      <c r="C416" s="17"/>
      <c r="D416" s="17"/>
      <c r="E416" s="17"/>
      <c r="F416" s="19"/>
      <c r="G416" s="17"/>
      <c r="H416" s="17"/>
    </row>
    <row r="417" spans="2:8" s="16" customFormat="1" ht="22.5" customHeight="1">
      <c r="B417" s="17"/>
      <c r="C417" s="17"/>
      <c r="D417" s="17"/>
      <c r="E417" s="17"/>
      <c r="F417" s="19"/>
      <c r="G417" s="17"/>
      <c r="H417" s="17"/>
    </row>
    <row r="418" spans="2:8" s="16" customFormat="1" ht="22.5" customHeight="1">
      <c r="B418" s="17"/>
      <c r="C418" s="17"/>
      <c r="D418" s="17"/>
      <c r="E418" s="17"/>
      <c r="F418" s="19"/>
      <c r="G418" s="17"/>
      <c r="H418" s="17"/>
    </row>
    <row r="419" spans="2:8" s="16" customFormat="1" ht="22.5" customHeight="1">
      <c r="B419" s="17"/>
      <c r="C419" s="17"/>
      <c r="D419" s="17"/>
      <c r="E419" s="17"/>
      <c r="F419" s="19"/>
      <c r="G419" s="17"/>
      <c r="H419" s="17"/>
    </row>
    <row r="420" spans="2:8" s="16" customFormat="1" ht="22.5" customHeight="1">
      <c r="B420" s="17"/>
      <c r="C420" s="17"/>
      <c r="D420" s="17"/>
      <c r="E420" s="17"/>
      <c r="F420" s="19"/>
      <c r="G420" s="17"/>
      <c r="H420" s="17"/>
    </row>
    <row r="421" spans="2:8" s="16" customFormat="1" ht="22.5" customHeight="1">
      <c r="B421" s="17"/>
      <c r="C421" s="17"/>
      <c r="D421" s="17"/>
      <c r="E421" s="17"/>
      <c r="F421" s="19"/>
      <c r="G421" s="17"/>
      <c r="H421" s="17"/>
    </row>
    <row r="422" spans="2:8" s="16" customFormat="1" ht="22.5" customHeight="1">
      <c r="B422" s="17"/>
      <c r="C422" s="17"/>
      <c r="D422" s="17"/>
      <c r="E422" s="17"/>
      <c r="F422" s="19"/>
      <c r="G422" s="17"/>
      <c r="H422" s="17"/>
    </row>
    <row r="423" spans="2:8" s="16" customFormat="1" ht="22.5" customHeight="1">
      <c r="B423" s="17"/>
      <c r="C423" s="17"/>
      <c r="D423" s="17"/>
      <c r="E423" s="17"/>
      <c r="F423" s="19"/>
      <c r="G423" s="17"/>
      <c r="H423" s="17"/>
    </row>
    <row r="424" spans="2:8" s="16" customFormat="1" ht="22.5" customHeight="1">
      <c r="B424" s="17"/>
      <c r="C424" s="17"/>
      <c r="D424" s="17"/>
      <c r="E424" s="17"/>
      <c r="F424" s="19"/>
      <c r="G424" s="17"/>
      <c r="H424" s="17"/>
    </row>
    <row r="425" spans="2:8" s="16" customFormat="1" ht="22.5" customHeight="1">
      <c r="B425" s="17"/>
      <c r="C425" s="17"/>
      <c r="D425" s="17"/>
      <c r="E425" s="17"/>
      <c r="F425" s="19"/>
      <c r="G425" s="17"/>
      <c r="H425" s="17"/>
    </row>
    <row r="426" spans="2:8" s="16" customFormat="1" ht="22.5" customHeight="1">
      <c r="B426" s="17"/>
      <c r="C426" s="17"/>
      <c r="D426" s="17"/>
      <c r="E426" s="17"/>
      <c r="F426" s="19"/>
      <c r="G426" s="17"/>
      <c r="H426" s="17"/>
    </row>
    <row r="427" spans="2:8" s="16" customFormat="1" ht="22.5" customHeight="1">
      <c r="B427" s="17"/>
      <c r="C427" s="17"/>
      <c r="D427" s="17"/>
      <c r="E427" s="17"/>
      <c r="F427" s="19"/>
      <c r="G427" s="17"/>
      <c r="H427" s="17"/>
    </row>
    <row r="428" spans="2:8" s="16" customFormat="1" ht="22.5" customHeight="1">
      <c r="B428" s="17"/>
      <c r="C428" s="17"/>
      <c r="D428" s="17"/>
      <c r="E428" s="17"/>
      <c r="F428" s="19"/>
      <c r="G428" s="17"/>
      <c r="H428" s="17"/>
    </row>
    <row r="429" spans="2:8" s="16" customFormat="1" ht="22.5" customHeight="1">
      <c r="B429" s="17"/>
      <c r="C429" s="17"/>
      <c r="D429" s="17"/>
      <c r="E429" s="17"/>
      <c r="F429" s="19"/>
      <c r="G429" s="17"/>
      <c r="H429" s="17"/>
    </row>
    <row r="430" spans="2:8" s="16" customFormat="1" ht="22.5" customHeight="1">
      <c r="B430" s="17"/>
      <c r="C430" s="17"/>
      <c r="D430" s="17"/>
      <c r="E430" s="17"/>
      <c r="F430" s="19"/>
      <c r="G430" s="17"/>
      <c r="H430" s="17"/>
    </row>
    <row r="431" spans="2:8" s="16" customFormat="1" ht="22.5" customHeight="1">
      <c r="B431" s="17"/>
      <c r="C431" s="17"/>
      <c r="D431" s="17"/>
      <c r="E431" s="17"/>
      <c r="F431" s="19"/>
      <c r="G431" s="17"/>
      <c r="H431" s="17"/>
    </row>
    <row r="432" spans="2:8" s="16" customFormat="1" ht="22.5" customHeight="1">
      <c r="B432" s="17"/>
      <c r="C432" s="17"/>
      <c r="D432" s="17"/>
      <c r="E432" s="17"/>
      <c r="F432" s="19"/>
      <c r="G432" s="17"/>
      <c r="H432" s="17"/>
    </row>
    <row r="433" spans="2:8" s="16" customFormat="1" ht="22.5" customHeight="1">
      <c r="B433" s="17"/>
      <c r="C433" s="17"/>
      <c r="D433" s="17"/>
      <c r="E433" s="17"/>
      <c r="F433" s="19"/>
      <c r="G433" s="17"/>
      <c r="H433" s="17"/>
    </row>
    <row r="434" spans="2:8" s="16" customFormat="1" ht="22.5" customHeight="1">
      <c r="B434" s="17"/>
      <c r="C434" s="17"/>
      <c r="D434" s="17"/>
      <c r="E434" s="17"/>
      <c r="F434" s="19"/>
      <c r="G434" s="17"/>
      <c r="H434" s="17"/>
    </row>
    <row r="435" spans="2:8" s="16" customFormat="1" ht="22.5" customHeight="1">
      <c r="B435" s="17"/>
      <c r="C435" s="17"/>
      <c r="D435" s="17"/>
      <c r="E435" s="17"/>
      <c r="F435" s="19"/>
      <c r="G435" s="17"/>
      <c r="H435" s="17"/>
    </row>
    <row r="436" spans="2:8" s="16" customFormat="1" ht="22.5" customHeight="1">
      <c r="B436" s="17"/>
      <c r="C436" s="17"/>
      <c r="D436" s="17"/>
      <c r="E436" s="17"/>
      <c r="F436" s="19"/>
      <c r="G436" s="17"/>
      <c r="H436" s="17"/>
    </row>
    <row r="437" spans="2:8" s="16" customFormat="1" ht="22.5" customHeight="1">
      <c r="B437" s="17"/>
      <c r="C437" s="17"/>
      <c r="D437" s="17"/>
      <c r="E437" s="17"/>
      <c r="F437" s="19"/>
      <c r="G437" s="17"/>
      <c r="H437" s="17"/>
    </row>
    <row r="438" spans="2:8" s="16" customFormat="1" ht="22.5" customHeight="1">
      <c r="B438" s="17"/>
      <c r="C438" s="17"/>
      <c r="D438" s="17"/>
      <c r="E438" s="17"/>
      <c r="F438" s="19"/>
      <c r="G438" s="17"/>
      <c r="H438" s="17"/>
    </row>
    <row r="439" spans="2:8" s="16" customFormat="1" ht="22.5" customHeight="1">
      <c r="B439" s="17"/>
      <c r="C439" s="17"/>
      <c r="D439" s="17"/>
      <c r="E439" s="17"/>
      <c r="F439" s="19"/>
      <c r="G439" s="17"/>
      <c r="H439" s="17"/>
    </row>
    <row r="440" spans="2:8" s="16" customFormat="1" ht="22.5" customHeight="1">
      <c r="B440" s="17"/>
      <c r="C440" s="17"/>
      <c r="D440" s="17"/>
      <c r="E440" s="17"/>
      <c r="F440" s="19"/>
      <c r="G440" s="17"/>
      <c r="H440" s="17"/>
    </row>
    <row r="441" spans="2:8" s="16" customFormat="1" ht="22.5" customHeight="1">
      <c r="B441" s="17"/>
      <c r="C441" s="17"/>
      <c r="D441" s="17"/>
      <c r="E441" s="17"/>
      <c r="F441" s="19"/>
      <c r="G441" s="17"/>
      <c r="H441" s="17"/>
    </row>
    <row r="442" spans="2:8" s="16" customFormat="1" ht="22.5" customHeight="1">
      <c r="B442" s="17"/>
      <c r="C442" s="17"/>
      <c r="D442" s="17"/>
      <c r="E442" s="17"/>
      <c r="F442" s="19"/>
      <c r="G442" s="17"/>
      <c r="H442" s="17"/>
    </row>
    <row r="443" spans="2:8" s="16" customFormat="1" ht="22.5" customHeight="1">
      <c r="B443" s="17"/>
      <c r="C443" s="17"/>
      <c r="D443" s="17"/>
      <c r="E443" s="17"/>
      <c r="F443" s="19"/>
      <c r="G443" s="17"/>
      <c r="H443" s="17"/>
    </row>
    <row r="444" spans="2:8" s="16" customFormat="1" ht="22.5" customHeight="1">
      <c r="B444" s="17"/>
      <c r="C444" s="17"/>
      <c r="D444" s="17"/>
      <c r="E444" s="17"/>
      <c r="F444" s="19"/>
      <c r="G444" s="17"/>
      <c r="H444" s="17"/>
    </row>
    <row r="445" spans="2:8" s="16" customFormat="1" ht="22.5" customHeight="1">
      <c r="B445" s="17"/>
      <c r="C445" s="17"/>
      <c r="D445" s="17"/>
      <c r="E445" s="17"/>
      <c r="F445" s="19"/>
      <c r="G445" s="17"/>
      <c r="H445" s="17"/>
    </row>
    <row r="446" spans="2:8" s="16" customFormat="1" ht="22.5" customHeight="1">
      <c r="B446" s="17"/>
      <c r="C446" s="17"/>
      <c r="D446" s="17"/>
      <c r="E446" s="17"/>
      <c r="F446" s="19"/>
      <c r="G446" s="17"/>
      <c r="H446" s="17"/>
    </row>
    <row r="447" spans="2:8" s="16" customFormat="1" ht="22.5" customHeight="1">
      <c r="B447" s="17"/>
      <c r="C447" s="17"/>
      <c r="D447" s="17"/>
      <c r="E447" s="17"/>
      <c r="F447" s="19"/>
      <c r="G447" s="17"/>
      <c r="H447" s="17"/>
    </row>
    <row r="448" spans="2:8" s="16" customFormat="1" ht="22.5" customHeight="1">
      <c r="B448" s="17"/>
      <c r="C448" s="17"/>
      <c r="D448" s="17"/>
      <c r="E448" s="17"/>
      <c r="F448" s="19"/>
      <c r="G448" s="17"/>
      <c r="H448" s="17"/>
    </row>
    <row r="449" spans="2:8" s="16" customFormat="1" ht="22.5" customHeight="1">
      <c r="B449" s="17"/>
      <c r="C449" s="17"/>
      <c r="D449" s="17"/>
      <c r="E449" s="17"/>
      <c r="F449" s="19"/>
      <c r="G449" s="17"/>
      <c r="H449" s="17"/>
    </row>
    <row r="450" spans="2:8" s="16" customFormat="1" ht="22.5" customHeight="1">
      <c r="B450" s="17"/>
      <c r="C450" s="17"/>
      <c r="D450" s="17"/>
      <c r="E450" s="17"/>
      <c r="F450" s="19"/>
      <c r="G450" s="17"/>
      <c r="H450" s="17"/>
    </row>
    <row r="451" spans="2:8" s="16" customFormat="1" ht="22.5" customHeight="1">
      <c r="B451" s="17"/>
      <c r="C451" s="17"/>
      <c r="D451" s="17"/>
      <c r="E451" s="17"/>
      <c r="F451" s="19"/>
      <c r="G451" s="17"/>
      <c r="H451" s="17"/>
    </row>
    <row r="452" spans="2:8" s="16" customFormat="1" ht="22.5" customHeight="1">
      <c r="B452" s="17"/>
      <c r="C452" s="17"/>
      <c r="D452" s="17"/>
      <c r="E452" s="17"/>
      <c r="F452" s="19"/>
      <c r="G452" s="17"/>
      <c r="H452" s="17"/>
    </row>
    <row r="453" spans="2:8" s="16" customFormat="1" ht="22.5" customHeight="1">
      <c r="B453" s="17"/>
      <c r="C453" s="17"/>
      <c r="D453" s="17"/>
      <c r="E453" s="17"/>
      <c r="F453" s="19"/>
      <c r="G453" s="17"/>
      <c r="H453" s="17"/>
    </row>
    <row r="454" spans="2:8" s="16" customFormat="1" ht="22.5" customHeight="1">
      <c r="B454" s="17"/>
      <c r="C454" s="17"/>
      <c r="D454" s="17"/>
      <c r="E454" s="17"/>
      <c r="F454" s="19"/>
      <c r="G454" s="17"/>
      <c r="H454" s="17"/>
    </row>
    <row r="455" spans="2:8" s="16" customFormat="1" ht="22.5" customHeight="1">
      <c r="B455" s="17"/>
      <c r="C455" s="17"/>
      <c r="D455" s="17"/>
      <c r="E455" s="17"/>
      <c r="F455" s="19"/>
      <c r="G455" s="17"/>
      <c r="H455" s="17"/>
    </row>
    <row r="456" spans="2:8" s="16" customFormat="1" ht="22.5" customHeight="1">
      <c r="B456" s="17"/>
      <c r="C456" s="17"/>
      <c r="D456" s="17"/>
      <c r="E456" s="17"/>
      <c r="F456" s="19"/>
      <c r="G456" s="17"/>
      <c r="H456" s="17"/>
    </row>
    <row r="457" spans="2:8" s="16" customFormat="1" ht="22.5" customHeight="1">
      <c r="B457" s="17"/>
      <c r="C457" s="17"/>
      <c r="D457" s="17"/>
      <c r="E457" s="17"/>
      <c r="F457" s="19"/>
      <c r="G457" s="17"/>
      <c r="H457" s="17"/>
    </row>
    <row r="458" spans="2:8" s="16" customFormat="1" ht="22.5" customHeight="1">
      <c r="B458" s="17"/>
      <c r="C458" s="17"/>
      <c r="D458" s="17"/>
      <c r="E458" s="17"/>
      <c r="F458" s="19"/>
      <c r="G458" s="17"/>
      <c r="H458" s="17"/>
    </row>
    <row r="459" spans="2:8" s="16" customFormat="1" ht="22.5" customHeight="1">
      <c r="B459" s="17"/>
      <c r="C459" s="17"/>
      <c r="D459" s="17"/>
      <c r="E459" s="17"/>
      <c r="F459" s="19"/>
      <c r="G459" s="17"/>
      <c r="H459" s="17"/>
    </row>
    <row r="460" spans="2:8" s="16" customFormat="1" ht="22.5" customHeight="1">
      <c r="B460" s="17"/>
      <c r="C460" s="17"/>
      <c r="D460" s="17"/>
      <c r="E460" s="17"/>
      <c r="F460" s="19"/>
      <c r="G460" s="17"/>
      <c r="H460" s="17"/>
    </row>
    <row r="461" spans="2:8" s="16" customFormat="1" ht="22.5" customHeight="1">
      <c r="B461" s="17"/>
      <c r="C461" s="17"/>
      <c r="D461" s="17"/>
      <c r="E461" s="17"/>
      <c r="F461" s="19"/>
      <c r="G461" s="17"/>
      <c r="H461" s="17"/>
    </row>
    <row r="462" spans="2:8" s="16" customFormat="1" ht="22.5" customHeight="1">
      <c r="B462" s="17"/>
      <c r="C462" s="17"/>
      <c r="D462" s="17"/>
      <c r="E462" s="17"/>
      <c r="F462" s="19"/>
      <c r="G462" s="17"/>
      <c r="H462" s="17"/>
    </row>
    <row r="463" spans="2:8" s="16" customFormat="1" ht="22.5" customHeight="1">
      <c r="B463" s="17"/>
      <c r="C463" s="17"/>
      <c r="D463" s="17"/>
      <c r="E463" s="17"/>
      <c r="F463" s="19"/>
      <c r="G463" s="17"/>
      <c r="H463" s="17"/>
    </row>
    <row r="464" spans="2:8" s="16" customFormat="1" ht="22.5" customHeight="1">
      <c r="B464" s="17"/>
      <c r="C464" s="17"/>
      <c r="D464" s="17"/>
      <c r="E464" s="17"/>
      <c r="F464" s="19"/>
      <c r="G464" s="17"/>
      <c r="H464" s="17"/>
    </row>
    <row r="465" spans="2:8" s="16" customFormat="1" ht="22.5" customHeight="1">
      <c r="B465" s="17"/>
      <c r="C465" s="17"/>
      <c r="D465" s="17"/>
      <c r="E465" s="17"/>
      <c r="F465" s="19"/>
      <c r="G465" s="17"/>
      <c r="H465" s="17"/>
    </row>
    <row r="466" spans="2:8" s="16" customFormat="1" ht="22.5" customHeight="1">
      <c r="B466" s="17"/>
      <c r="C466" s="17"/>
      <c r="D466" s="17"/>
      <c r="E466" s="17"/>
      <c r="F466" s="19"/>
      <c r="G466" s="17"/>
      <c r="H466" s="17"/>
    </row>
    <row r="467" spans="2:8" s="16" customFormat="1" ht="22.5" customHeight="1">
      <c r="B467" s="17"/>
      <c r="C467" s="17"/>
      <c r="D467" s="17"/>
      <c r="E467" s="17"/>
      <c r="F467" s="19"/>
      <c r="G467" s="17"/>
      <c r="H467" s="17"/>
    </row>
    <row r="468" spans="2:8" s="16" customFormat="1" ht="22.5" customHeight="1">
      <c r="B468" s="17"/>
      <c r="C468" s="17"/>
      <c r="D468" s="17"/>
      <c r="E468" s="17"/>
      <c r="F468" s="19"/>
      <c r="G468" s="17"/>
      <c r="H468" s="17"/>
    </row>
    <row r="469" spans="2:8" s="16" customFormat="1" ht="22.5" customHeight="1">
      <c r="B469" s="17"/>
      <c r="C469" s="17"/>
      <c r="D469" s="17"/>
      <c r="E469" s="17"/>
      <c r="F469" s="19"/>
      <c r="G469" s="17"/>
      <c r="H469" s="17"/>
    </row>
    <row r="470" spans="2:8" s="16" customFormat="1" ht="22.5" customHeight="1">
      <c r="B470" s="17"/>
      <c r="C470" s="17"/>
      <c r="D470" s="17"/>
      <c r="E470" s="17"/>
      <c r="F470" s="19"/>
      <c r="G470" s="17"/>
      <c r="H470" s="17"/>
    </row>
    <row r="471" spans="2:8" s="16" customFormat="1" ht="22.5" customHeight="1">
      <c r="B471" s="17"/>
      <c r="C471" s="17"/>
      <c r="D471" s="17"/>
      <c r="E471" s="17"/>
      <c r="F471" s="19"/>
      <c r="G471" s="17"/>
      <c r="H471" s="17"/>
    </row>
    <row r="472" spans="2:8" s="16" customFormat="1" ht="22.5" customHeight="1">
      <c r="B472" s="17"/>
      <c r="C472" s="17"/>
      <c r="D472" s="17"/>
      <c r="E472" s="17"/>
      <c r="F472" s="19"/>
      <c r="G472" s="17"/>
      <c r="H472" s="17"/>
    </row>
    <row r="473" spans="2:8" s="16" customFormat="1" ht="22.5" customHeight="1">
      <c r="B473" s="17"/>
      <c r="C473" s="17"/>
      <c r="D473" s="17"/>
      <c r="E473" s="17"/>
      <c r="F473" s="19"/>
      <c r="G473" s="17"/>
      <c r="H473" s="17"/>
    </row>
    <row r="474" spans="2:8" s="16" customFormat="1" ht="22.5" customHeight="1">
      <c r="B474" s="17"/>
      <c r="C474" s="17"/>
      <c r="D474" s="17"/>
      <c r="E474" s="17"/>
      <c r="F474" s="19"/>
      <c r="G474" s="17"/>
      <c r="H474" s="17"/>
    </row>
    <row r="475" spans="2:8" s="16" customFormat="1" ht="22.5" customHeight="1">
      <c r="B475" s="17"/>
      <c r="C475" s="17"/>
      <c r="D475" s="17"/>
      <c r="E475" s="17"/>
      <c r="F475" s="19"/>
      <c r="G475" s="17"/>
      <c r="H475" s="17"/>
    </row>
    <row r="476" spans="2:8" s="16" customFormat="1" ht="22.5" customHeight="1">
      <c r="B476" s="17"/>
      <c r="C476" s="17"/>
      <c r="D476" s="17"/>
      <c r="E476" s="17"/>
      <c r="F476" s="19"/>
      <c r="G476" s="17"/>
      <c r="H476" s="17"/>
    </row>
    <row r="477" spans="2:8" s="16" customFormat="1" ht="22.5" customHeight="1">
      <c r="B477" s="17"/>
      <c r="C477" s="17"/>
      <c r="D477" s="17"/>
      <c r="E477" s="17"/>
      <c r="F477" s="19"/>
      <c r="G477" s="17"/>
      <c r="H477" s="17"/>
    </row>
    <row r="478" spans="2:8" s="16" customFormat="1" ht="22.5" customHeight="1">
      <c r="B478" s="17"/>
      <c r="C478" s="17"/>
      <c r="D478" s="17"/>
      <c r="E478" s="17"/>
      <c r="F478" s="19"/>
      <c r="G478" s="17"/>
      <c r="H478" s="17"/>
    </row>
    <row r="479" spans="2:8" s="16" customFormat="1" ht="22.5" customHeight="1">
      <c r="B479" s="17"/>
      <c r="C479" s="17"/>
      <c r="D479" s="17"/>
      <c r="E479" s="17"/>
      <c r="F479" s="19"/>
      <c r="G479" s="17"/>
      <c r="H479" s="17"/>
    </row>
    <row r="480" spans="2:8" s="16" customFormat="1" ht="22.5" customHeight="1">
      <c r="B480" s="17"/>
      <c r="C480" s="17"/>
      <c r="D480" s="17"/>
      <c r="E480" s="17"/>
      <c r="F480" s="19"/>
      <c r="G480" s="17"/>
      <c r="H480" s="17"/>
    </row>
    <row r="481" spans="2:8" s="16" customFormat="1" ht="22.5" customHeight="1">
      <c r="B481" s="17"/>
      <c r="C481" s="17"/>
      <c r="D481" s="17"/>
      <c r="E481" s="17"/>
      <c r="F481" s="19"/>
      <c r="G481" s="17"/>
      <c r="H481" s="17"/>
    </row>
    <row r="482" spans="2:8" s="16" customFormat="1" ht="22.5" customHeight="1">
      <c r="B482" s="17"/>
      <c r="C482" s="17"/>
      <c r="D482" s="17"/>
      <c r="E482" s="17"/>
      <c r="F482" s="19"/>
      <c r="G482" s="17"/>
      <c r="H482" s="17"/>
    </row>
    <row r="483" spans="2:8" s="16" customFormat="1" ht="22.5" customHeight="1">
      <c r="B483" s="17"/>
      <c r="C483" s="17"/>
      <c r="D483" s="17"/>
      <c r="E483" s="17"/>
      <c r="F483" s="19"/>
      <c r="G483" s="17"/>
      <c r="H483" s="17"/>
    </row>
    <row r="484" spans="2:8" s="16" customFormat="1" ht="22.5" customHeight="1">
      <c r="B484" s="17"/>
      <c r="C484" s="17"/>
      <c r="D484" s="17"/>
      <c r="E484" s="17"/>
      <c r="F484" s="19"/>
      <c r="G484" s="17"/>
      <c r="H484" s="17"/>
    </row>
    <row r="485" spans="2:8" s="16" customFormat="1" ht="22.5" customHeight="1">
      <c r="B485" s="17"/>
      <c r="C485" s="17"/>
      <c r="D485" s="17"/>
      <c r="E485" s="17"/>
      <c r="F485" s="19"/>
      <c r="G485" s="17"/>
      <c r="H485" s="17"/>
    </row>
    <row r="486" spans="2:8" s="16" customFormat="1" ht="22.5" customHeight="1">
      <c r="B486" s="17"/>
      <c r="C486" s="17"/>
      <c r="D486" s="17"/>
      <c r="E486" s="17"/>
      <c r="F486" s="19"/>
      <c r="G486" s="17"/>
      <c r="H486" s="17"/>
    </row>
    <row r="487" spans="2:8" s="16" customFormat="1" ht="22.5" customHeight="1">
      <c r="B487" s="17"/>
      <c r="C487" s="17"/>
      <c r="D487" s="17"/>
      <c r="E487" s="17"/>
      <c r="F487" s="19"/>
      <c r="G487" s="17"/>
      <c r="H487" s="17"/>
    </row>
    <row r="488" spans="2:8" s="16" customFormat="1" ht="22.5" customHeight="1">
      <c r="B488" s="17"/>
      <c r="C488" s="17"/>
      <c r="D488" s="17"/>
      <c r="E488" s="17"/>
      <c r="F488" s="19"/>
      <c r="G488" s="17"/>
      <c r="H488" s="17"/>
    </row>
    <row r="489" spans="2:8" s="16" customFormat="1" ht="22.5" customHeight="1">
      <c r="B489" s="17"/>
      <c r="C489" s="17"/>
      <c r="D489" s="17"/>
      <c r="E489" s="17"/>
      <c r="F489" s="19"/>
      <c r="G489" s="17"/>
      <c r="H489" s="17"/>
    </row>
    <row r="490" spans="2:8" s="16" customFormat="1" ht="22.5" customHeight="1">
      <c r="B490" s="17"/>
      <c r="C490" s="17"/>
      <c r="D490" s="17"/>
      <c r="E490" s="17"/>
      <c r="F490" s="19"/>
      <c r="G490" s="17"/>
      <c r="H490" s="17"/>
    </row>
    <row r="491" spans="2:8" s="16" customFormat="1" ht="22.5" customHeight="1">
      <c r="B491" s="17"/>
      <c r="C491" s="17"/>
      <c r="D491" s="17"/>
      <c r="E491" s="17"/>
      <c r="F491" s="19"/>
      <c r="G491" s="17"/>
      <c r="H491" s="17"/>
    </row>
    <row r="492" spans="2:8" s="16" customFormat="1" ht="22.5" customHeight="1">
      <c r="B492" s="17"/>
      <c r="C492" s="17"/>
      <c r="D492" s="17"/>
      <c r="E492" s="17"/>
      <c r="F492" s="19"/>
      <c r="G492" s="17"/>
      <c r="H492" s="17"/>
    </row>
    <row r="493" spans="2:8" s="16" customFormat="1" ht="22.5" customHeight="1">
      <c r="B493" s="17"/>
      <c r="C493" s="17"/>
      <c r="D493" s="17"/>
      <c r="E493" s="17"/>
      <c r="F493" s="19"/>
      <c r="G493" s="17"/>
      <c r="H493" s="17"/>
    </row>
    <row r="494" spans="2:8" s="16" customFormat="1" ht="22.5" customHeight="1">
      <c r="B494" s="17"/>
      <c r="C494" s="17"/>
      <c r="D494" s="17"/>
      <c r="E494" s="17"/>
      <c r="F494" s="19"/>
      <c r="G494" s="17"/>
      <c r="H494" s="17"/>
    </row>
    <row r="495" spans="2:8" s="16" customFormat="1" ht="22.5" customHeight="1">
      <c r="B495" s="17"/>
      <c r="C495" s="17"/>
      <c r="D495" s="17"/>
      <c r="E495" s="17"/>
      <c r="F495" s="19"/>
      <c r="G495" s="17"/>
      <c r="H495" s="17"/>
    </row>
    <row r="496" spans="2:8" s="16" customFormat="1" ht="22.5" customHeight="1">
      <c r="B496" s="17"/>
      <c r="C496" s="17"/>
      <c r="D496" s="17"/>
      <c r="E496" s="17"/>
      <c r="F496" s="19"/>
      <c r="G496" s="17"/>
      <c r="H496" s="17"/>
    </row>
    <row r="497" spans="2:8" s="16" customFormat="1" ht="22.5" customHeight="1">
      <c r="B497" s="17"/>
      <c r="C497" s="17"/>
      <c r="D497" s="17"/>
      <c r="E497" s="17"/>
      <c r="F497" s="19"/>
      <c r="G497" s="17"/>
      <c r="H497" s="17"/>
    </row>
    <row r="498" spans="2:8" s="16" customFormat="1" ht="22.5" customHeight="1">
      <c r="B498" s="17"/>
      <c r="C498" s="17"/>
      <c r="D498" s="17"/>
      <c r="E498" s="17"/>
      <c r="F498" s="19"/>
      <c r="G498" s="17"/>
      <c r="H498" s="17"/>
    </row>
    <row r="499" spans="2:8" s="16" customFormat="1" ht="22.5" customHeight="1">
      <c r="B499" s="17"/>
      <c r="C499" s="17"/>
      <c r="D499" s="17"/>
      <c r="E499" s="17"/>
      <c r="F499" s="19"/>
      <c r="G499" s="17"/>
      <c r="H499" s="17"/>
    </row>
    <row r="500" spans="2:8" s="16" customFormat="1" ht="22.5" customHeight="1">
      <c r="B500" s="17"/>
      <c r="C500" s="17"/>
      <c r="D500" s="17"/>
      <c r="E500" s="17"/>
      <c r="F500" s="19"/>
      <c r="G500" s="17"/>
      <c r="H500" s="17"/>
    </row>
    <row r="501" spans="2:8" s="16" customFormat="1" ht="22.5" customHeight="1">
      <c r="B501" s="17"/>
      <c r="C501" s="17"/>
      <c r="D501" s="17"/>
      <c r="E501" s="17"/>
      <c r="F501" s="19"/>
      <c r="G501" s="17"/>
      <c r="H501" s="17"/>
    </row>
    <row r="502" spans="2:8" s="16" customFormat="1" ht="22.5" customHeight="1">
      <c r="B502" s="17"/>
      <c r="C502" s="17"/>
      <c r="D502" s="17"/>
      <c r="E502" s="17"/>
      <c r="F502" s="19"/>
      <c r="G502" s="17"/>
      <c r="H502" s="17"/>
    </row>
    <row r="503" spans="2:8" s="16" customFormat="1" ht="22.5" customHeight="1">
      <c r="B503" s="17"/>
      <c r="C503" s="17"/>
      <c r="D503" s="17"/>
      <c r="E503" s="17"/>
      <c r="F503" s="19"/>
      <c r="G503" s="17"/>
      <c r="H503" s="17"/>
    </row>
    <row r="504" spans="2:8" s="16" customFormat="1" ht="22.5" customHeight="1">
      <c r="B504" s="17"/>
      <c r="C504" s="17"/>
      <c r="D504" s="17"/>
      <c r="E504" s="17"/>
      <c r="F504" s="19"/>
      <c r="G504" s="17"/>
      <c r="H504" s="17"/>
    </row>
    <row r="505" spans="2:8" s="16" customFormat="1" ht="22.5" customHeight="1">
      <c r="B505" s="17"/>
      <c r="C505" s="17"/>
      <c r="D505" s="17"/>
      <c r="E505" s="17"/>
      <c r="F505" s="19"/>
      <c r="G505" s="17"/>
      <c r="H505" s="17"/>
    </row>
    <row r="506" spans="2:8" s="16" customFormat="1" ht="22.5" customHeight="1">
      <c r="B506" s="17"/>
      <c r="C506" s="17"/>
      <c r="D506" s="17"/>
      <c r="E506" s="17"/>
      <c r="F506" s="19"/>
      <c r="G506" s="17"/>
      <c r="H506" s="17"/>
    </row>
    <row r="507" spans="2:8" s="16" customFormat="1" ht="22.5" customHeight="1">
      <c r="B507" s="17"/>
      <c r="C507" s="17"/>
      <c r="D507" s="17"/>
      <c r="E507" s="17"/>
      <c r="F507" s="19"/>
      <c r="G507" s="17"/>
      <c r="H507" s="17"/>
    </row>
    <row r="508" spans="2:8" s="16" customFormat="1" ht="22.5" customHeight="1">
      <c r="B508" s="17"/>
      <c r="C508" s="17"/>
      <c r="D508" s="17"/>
      <c r="E508" s="17"/>
      <c r="F508" s="19"/>
      <c r="G508" s="17"/>
      <c r="H508" s="17"/>
    </row>
    <row r="509" spans="2:8" s="16" customFormat="1" ht="22.5" customHeight="1">
      <c r="B509" s="17"/>
      <c r="C509" s="17"/>
      <c r="D509" s="17"/>
      <c r="E509" s="17"/>
      <c r="F509" s="19"/>
      <c r="G509" s="17"/>
      <c r="H509" s="17"/>
    </row>
    <row r="510" spans="2:8" s="16" customFormat="1" ht="22.5" customHeight="1">
      <c r="B510" s="17"/>
      <c r="C510" s="17"/>
      <c r="D510" s="17"/>
      <c r="E510" s="17"/>
      <c r="F510" s="19"/>
      <c r="G510" s="17"/>
      <c r="H510" s="17"/>
    </row>
    <row r="511" spans="2:8" s="16" customFormat="1" ht="22.5" customHeight="1">
      <c r="B511" s="17"/>
      <c r="C511" s="17"/>
      <c r="D511" s="17"/>
      <c r="E511" s="17"/>
      <c r="F511" s="19"/>
      <c r="G511" s="17"/>
      <c r="H511" s="17"/>
    </row>
    <row r="512" spans="2:8" s="16" customFormat="1" ht="22.5" customHeight="1">
      <c r="B512" s="17"/>
      <c r="C512" s="17"/>
      <c r="D512" s="17"/>
      <c r="E512" s="17"/>
      <c r="F512" s="19"/>
      <c r="G512" s="17"/>
      <c r="H512" s="17"/>
    </row>
    <row r="513" spans="2:8" s="16" customFormat="1" ht="22.5" customHeight="1">
      <c r="B513" s="17"/>
      <c r="C513" s="17"/>
      <c r="D513" s="17"/>
      <c r="E513" s="17"/>
      <c r="F513" s="19"/>
      <c r="G513" s="17"/>
      <c r="H513" s="17"/>
    </row>
    <row r="514" spans="2:8" s="16" customFormat="1" ht="22.5" customHeight="1">
      <c r="B514" s="17"/>
      <c r="C514" s="17"/>
      <c r="D514" s="17"/>
      <c r="E514" s="17"/>
      <c r="F514" s="19"/>
      <c r="G514" s="17"/>
      <c r="H514" s="17"/>
    </row>
    <row r="515" spans="2:8" s="16" customFormat="1" ht="22.5" customHeight="1">
      <c r="B515" s="17"/>
      <c r="C515" s="17"/>
      <c r="D515" s="17"/>
      <c r="E515" s="17"/>
      <c r="F515" s="19"/>
      <c r="G515" s="17"/>
      <c r="H515" s="17"/>
    </row>
    <row r="516" spans="2:8" s="16" customFormat="1" ht="22.5" customHeight="1">
      <c r="B516" s="17"/>
      <c r="C516" s="17"/>
      <c r="D516" s="17"/>
      <c r="E516" s="17"/>
      <c r="F516" s="19"/>
      <c r="G516" s="17"/>
      <c r="H516" s="17"/>
    </row>
    <row r="517" spans="2:8" s="16" customFormat="1" ht="22.5" customHeight="1">
      <c r="B517" s="17"/>
      <c r="C517" s="17"/>
      <c r="D517" s="17"/>
      <c r="E517" s="17"/>
      <c r="F517" s="19"/>
      <c r="G517" s="17"/>
      <c r="H517" s="17"/>
    </row>
    <row r="518" spans="2:8" s="16" customFormat="1" ht="22.5" customHeight="1">
      <c r="B518" s="17"/>
      <c r="C518" s="17"/>
      <c r="D518" s="17"/>
      <c r="E518" s="17"/>
      <c r="F518" s="19"/>
      <c r="G518" s="17"/>
      <c r="H518" s="17"/>
    </row>
    <row r="519" spans="2:8" s="16" customFormat="1" ht="22.5" customHeight="1">
      <c r="B519" s="17"/>
      <c r="C519" s="17"/>
      <c r="D519" s="17"/>
      <c r="E519" s="17"/>
      <c r="F519" s="19"/>
      <c r="G519" s="17"/>
      <c r="H519" s="17"/>
    </row>
    <row r="520" spans="2:8" s="16" customFormat="1" ht="22.5" customHeight="1">
      <c r="B520" s="17"/>
      <c r="C520" s="17"/>
      <c r="D520" s="17"/>
      <c r="E520" s="17"/>
      <c r="F520" s="19"/>
      <c r="G520" s="17"/>
      <c r="H520" s="17"/>
    </row>
    <row r="521" spans="2:8" ht="22.5" customHeight="1">
      <c r="B521" s="12"/>
      <c r="C521" s="12"/>
      <c r="D521" s="12"/>
      <c r="E521" s="12"/>
      <c r="F521" s="13"/>
      <c r="G521" s="12"/>
      <c r="H521" s="12"/>
    </row>
    <row r="522" spans="2:8" ht="22.5" customHeight="1">
      <c r="B522" s="12"/>
      <c r="C522" s="12"/>
      <c r="D522" s="12"/>
      <c r="E522" s="12"/>
      <c r="F522" s="13"/>
      <c r="G522" s="12"/>
      <c r="H522" s="12"/>
    </row>
    <row r="523" spans="2:8" ht="22.5" customHeight="1">
      <c r="B523" s="12"/>
      <c r="C523" s="12"/>
      <c r="D523" s="12"/>
      <c r="E523" s="12"/>
      <c r="F523" s="13"/>
      <c r="G523" s="12"/>
      <c r="H523" s="12"/>
    </row>
    <row r="524" spans="2:8" ht="22.5" customHeight="1">
      <c r="B524" s="12"/>
      <c r="C524" s="12"/>
      <c r="D524" s="12"/>
      <c r="E524" s="12"/>
      <c r="F524" s="13"/>
      <c r="G524" s="12"/>
      <c r="H524" s="12"/>
    </row>
    <row r="525" spans="2:8" ht="22.5" customHeight="1">
      <c r="B525" s="12"/>
      <c r="C525" s="12"/>
      <c r="D525" s="12"/>
      <c r="E525" s="12"/>
      <c r="F525" s="13"/>
      <c r="G525" s="12"/>
      <c r="H525" s="12"/>
    </row>
    <row r="526" spans="2:8" ht="22.5" customHeight="1">
      <c r="B526" s="12"/>
      <c r="C526" s="12"/>
      <c r="D526" s="12"/>
      <c r="E526" s="12"/>
      <c r="F526" s="13"/>
      <c r="G526" s="12"/>
      <c r="H526" s="12"/>
    </row>
    <row r="527" spans="2:8" ht="22.5" customHeight="1">
      <c r="B527" s="12"/>
      <c r="C527" s="12"/>
      <c r="D527" s="12"/>
      <c r="E527" s="12"/>
      <c r="F527" s="13"/>
      <c r="G527" s="12"/>
      <c r="H527" s="12"/>
    </row>
    <row r="528" spans="2:8" ht="22.5" customHeight="1">
      <c r="B528" s="12"/>
      <c r="C528" s="12"/>
      <c r="D528" s="12"/>
      <c r="E528" s="12"/>
      <c r="F528" s="13"/>
      <c r="G528" s="12"/>
      <c r="H528" s="12"/>
    </row>
    <row r="529" spans="2:8" ht="22.5" customHeight="1">
      <c r="B529" s="12"/>
      <c r="C529" s="12"/>
      <c r="D529" s="12"/>
      <c r="E529" s="12"/>
      <c r="F529" s="13"/>
      <c r="G529" s="12"/>
      <c r="H529" s="12"/>
    </row>
    <row r="530" spans="2:8" ht="22.5" customHeight="1">
      <c r="B530" s="12"/>
      <c r="C530" s="12"/>
      <c r="D530" s="12"/>
      <c r="E530" s="12"/>
      <c r="F530" s="13"/>
      <c r="G530" s="12"/>
      <c r="H530" s="12"/>
    </row>
    <row r="531" spans="2:8" ht="22.5" customHeight="1">
      <c r="B531" s="12"/>
      <c r="C531" s="12"/>
      <c r="D531" s="12"/>
      <c r="E531" s="12"/>
      <c r="F531" s="13"/>
      <c r="G531" s="12"/>
      <c r="H531" s="12"/>
    </row>
    <row r="532" spans="2:8" ht="22.5" customHeight="1">
      <c r="B532" s="12"/>
      <c r="C532" s="12"/>
      <c r="D532" s="12"/>
      <c r="E532" s="12"/>
      <c r="F532" s="13"/>
      <c r="G532" s="12"/>
      <c r="H532" s="12"/>
    </row>
    <row r="533" spans="2:8" ht="22.5" customHeight="1">
      <c r="B533" s="12"/>
      <c r="C533" s="12"/>
      <c r="D533" s="12"/>
      <c r="E533" s="12"/>
      <c r="F533" s="13"/>
      <c r="G533" s="12"/>
      <c r="H533" s="12"/>
    </row>
    <row r="534" spans="2:8" ht="22.5" customHeight="1">
      <c r="B534" s="12"/>
      <c r="C534" s="12"/>
      <c r="D534" s="12"/>
      <c r="E534" s="12"/>
      <c r="F534" s="13"/>
      <c r="G534" s="12"/>
      <c r="H534" s="12"/>
    </row>
    <row r="535" spans="2:8" ht="22.5" customHeight="1">
      <c r="B535" s="12"/>
      <c r="C535" s="12"/>
      <c r="D535" s="12"/>
      <c r="E535" s="12"/>
      <c r="F535" s="13"/>
      <c r="G535" s="12"/>
      <c r="H535" s="12"/>
    </row>
    <row r="536" spans="2:8" ht="22.5" customHeight="1">
      <c r="B536" s="12"/>
      <c r="C536" s="12"/>
      <c r="D536" s="12"/>
      <c r="E536" s="12"/>
      <c r="F536" s="13"/>
      <c r="G536" s="12"/>
      <c r="H536" s="12"/>
    </row>
    <row r="537" spans="2:8" ht="22.5" customHeight="1">
      <c r="B537" s="12"/>
      <c r="C537" s="12"/>
      <c r="D537" s="12"/>
      <c r="E537" s="12"/>
      <c r="F537" s="13"/>
      <c r="G537" s="12"/>
      <c r="H537" s="12"/>
    </row>
    <row r="538" spans="2:8" ht="22.5" customHeight="1">
      <c r="B538" s="12"/>
      <c r="C538" s="12"/>
      <c r="D538" s="12"/>
      <c r="E538" s="12"/>
      <c r="F538" s="13"/>
      <c r="G538" s="12"/>
      <c r="H538" s="12"/>
    </row>
    <row r="539" spans="2:8" ht="22.5" customHeight="1">
      <c r="B539" s="12"/>
      <c r="C539" s="12"/>
      <c r="D539" s="12"/>
      <c r="E539" s="12"/>
      <c r="F539" s="13"/>
      <c r="G539" s="12"/>
      <c r="H539" s="12"/>
    </row>
    <row r="540" spans="2:8" ht="22.5" customHeight="1">
      <c r="B540" s="12"/>
      <c r="C540" s="12"/>
      <c r="D540" s="12"/>
      <c r="E540" s="12"/>
      <c r="F540" s="13"/>
      <c r="G540" s="12"/>
      <c r="H540" s="12"/>
    </row>
    <row r="541" spans="2:8" ht="22.5" customHeight="1">
      <c r="B541" s="12"/>
      <c r="C541" s="12"/>
      <c r="D541" s="12"/>
      <c r="E541" s="12"/>
      <c r="F541" s="13"/>
      <c r="G541" s="12"/>
      <c r="H541" s="12"/>
    </row>
    <row r="542" spans="2:8" ht="22.5" customHeight="1">
      <c r="B542" s="12"/>
      <c r="C542" s="12"/>
      <c r="D542" s="12"/>
      <c r="E542" s="12"/>
      <c r="F542" s="13"/>
      <c r="G542" s="12"/>
      <c r="H542" s="12"/>
    </row>
    <row r="543" spans="2:8" ht="22.5" customHeight="1">
      <c r="B543" s="12"/>
      <c r="C543" s="12"/>
      <c r="D543" s="12"/>
      <c r="E543" s="12"/>
      <c r="F543" s="13"/>
      <c r="G543" s="12"/>
      <c r="H543" s="12"/>
    </row>
    <row r="544" spans="2:8" ht="22.5" customHeight="1">
      <c r="B544" s="12"/>
      <c r="C544" s="12"/>
      <c r="D544" s="12"/>
      <c r="E544" s="12"/>
      <c r="F544" s="13"/>
      <c r="G544" s="12"/>
      <c r="H544" s="12"/>
    </row>
    <row r="545" spans="2:8" ht="22.5" customHeight="1">
      <c r="B545" s="12"/>
      <c r="C545" s="12"/>
      <c r="D545" s="12"/>
      <c r="E545" s="12"/>
      <c r="F545" s="13"/>
      <c r="G545" s="12"/>
      <c r="H545" s="12"/>
    </row>
    <row r="546" spans="2:8" ht="22.5" customHeight="1">
      <c r="B546" s="12"/>
      <c r="C546" s="12"/>
      <c r="D546" s="12"/>
      <c r="E546" s="12"/>
      <c r="F546" s="13"/>
      <c r="G546" s="12"/>
      <c r="H546" s="12"/>
    </row>
    <row r="547" spans="2:8" ht="22.5" customHeight="1">
      <c r="B547" s="12"/>
      <c r="C547" s="12"/>
      <c r="D547" s="12"/>
      <c r="E547" s="12"/>
      <c r="F547" s="13"/>
      <c r="G547" s="12"/>
      <c r="H547" s="12"/>
    </row>
    <row r="548" spans="2:8" ht="22.5" customHeight="1">
      <c r="B548" s="12"/>
      <c r="C548" s="12"/>
      <c r="D548" s="12"/>
      <c r="E548" s="12"/>
      <c r="F548" s="13"/>
      <c r="G548" s="12"/>
      <c r="H548" s="12"/>
    </row>
    <row r="549" spans="2:8" ht="22.5" customHeight="1">
      <c r="B549" s="12"/>
      <c r="C549" s="12"/>
      <c r="D549" s="12"/>
      <c r="E549" s="12"/>
      <c r="F549" s="13"/>
      <c r="G549" s="12"/>
      <c r="H549" s="12"/>
    </row>
    <row r="550" spans="2:8" ht="22.5" customHeight="1">
      <c r="B550" s="12"/>
      <c r="C550" s="12"/>
      <c r="D550" s="12"/>
      <c r="E550" s="12"/>
      <c r="F550" s="13"/>
      <c r="G550" s="12"/>
      <c r="H550" s="12"/>
    </row>
    <row r="551" spans="2:8" ht="22.5" customHeight="1">
      <c r="B551" s="12"/>
      <c r="C551" s="12"/>
      <c r="D551" s="12"/>
      <c r="E551" s="12"/>
      <c r="F551" s="13"/>
      <c r="G551" s="12"/>
      <c r="H551" s="12"/>
    </row>
    <row r="552" spans="2:8" ht="22.5" customHeight="1">
      <c r="B552" s="12"/>
      <c r="C552" s="12"/>
      <c r="D552" s="12"/>
      <c r="E552" s="12"/>
      <c r="F552" s="13"/>
      <c r="G552" s="12"/>
      <c r="H552" s="12"/>
    </row>
    <row r="553" spans="2:8" ht="22.5" customHeight="1">
      <c r="B553" s="12"/>
      <c r="C553" s="12"/>
      <c r="D553" s="12"/>
      <c r="E553" s="12"/>
      <c r="F553" s="13"/>
      <c r="G553" s="12"/>
      <c r="H553" s="12"/>
    </row>
    <row r="554" spans="2:8" ht="22.5" customHeight="1">
      <c r="B554" s="12"/>
      <c r="C554" s="12"/>
      <c r="D554" s="12"/>
      <c r="E554" s="12"/>
      <c r="F554" s="13"/>
      <c r="G554" s="12"/>
      <c r="H554" s="12"/>
    </row>
    <row r="555" spans="2:8" ht="22.5" customHeight="1">
      <c r="B555" s="12"/>
      <c r="C555" s="12"/>
      <c r="D555" s="12"/>
      <c r="E555" s="12"/>
      <c r="F555" s="13"/>
      <c r="G555" s="12"/>
      <c r="H555" s="12"/>
    </row>
    <row r="556" spans="2:8" ht="22.5" customHeight="1">
      <c r="B556" s="12"/>
      <c r="C556" s="12"/>
      <c r="D556" s="12"/>
      <c r="E556" s="12"/>
      <c r="F556" s="13"/>
      <c r="G556" s="12"/>
      <c r="H556" s="12"/>
    </row>
    <row r="557" spans="2:8" ht="22.5" customHeight="1">
      <c r="B557" s="12"/>
      <c r="C557" s="12"/>
      <c r="D557" s="12"/>
      <c r="E557" s="12"/>
      <c r="F557" s="13"/>
      <c r="G557" s="12"/>
      <c r="H557" s="12"/>
    </row>
    <row r="558" spans="2:8" ht="22.5" customHeight="1">
      <c r="B558" s="12"/>
      <c r="C558" s="12"/>
      <c r="D558" s="12"/>
      <c r="E558" s="12"/>
      <c r="F558" s="13"/>
      <c r="G558" s="12"/>
      <c r="H558" s="12"/>
    </row>
    <row r="559" spans="2:8" ht="22.5" customHeight="1">
      <c r="B559" s="12"/>
      <c r="C559" s="12"/>
      <c r="D559" s="12"/>
      <c r="E559" s="12"/>
      <c r="F559" s="13"/>
      <c r="G559" s="12"/>
      <c r="H559" s="12"/>
    </row>
    <row r="560" spans="2:8" ht="22.5" customHeight="1">
      <c r="B560" s="12"/>
      <c r="C560" s="12"/>
      <c r="D560" s="12"/>
      <c r="E560" s="12"/>
      <c r="F560" s="13"/>
      <c r="G560" s="12"/>
      <c r="H560" s="12"/>
    </row>
    <row r="561" spans="2:8" ht="22.5" customHeight="1">
      <c r="B561" s="12"/>
      <c r="C561" s="12"/>
      <c r="D561" s="12"/>
      <c r="E561" s="12"/>
      <c r="F561" s="13"/>
      <c r="G561" s="12"/>
      <c r="H561" s="12"/>
    </row>
    <row r="562" spans="2:8" ht="22.5" customHeight="1">
      <c r="B562" s="12"/>
      <c r="C562" s="12"/>
      <c r="D562" s="12"/>
      <c r="E562" s="12"/>
      <c r="F562" s="13"/>
      <c r="G562" s="12"/>
      <c r="H562" s="12"/>
    </row>
    <row r="563" spans="2:8" ht="22.5" customHeight="1">
      <c r="B563" s="12"/>
      <c r="C563" s="12"/>
      <c r="D563" s="12"/>
      <c r="E563" s="12"/>
      <c r="F563" s="13"/>
      <c r="G563" s="12"/>
      <c r="H563" s="12"/>
    </row>
    <row r="564" spans="2:8" ht="22.5" customHeight="1">
      <c r="B564" s="12"/>
      <c r="C564" s="12"/>
      <c r="D564" s="12"/>
      <c r="E564" s="12"/>
      <c r="F564" s="13"/>
      <c r="G564" s="12"/>
      <c r="H564" s="12"/>
    </row>
    <row r="565" spans="2:8" ht="22.5" customHeight="1">
      <c r="B565" s="12"/>
      <c r="C565" s="12"/>
      <c r="D565" s="12"/>
      <c r="E565" s="12"/>
      <c r="F565" s="13"/>
      <c r="G565" s="12"/>
      <c r="H565" s="12"/>
    </row>
    <row r="566" spans="2:8" ht="22.5" customHeight="1">
      <c r="B566" s="12"/>
      <c r="C566" s="12"/>
      <c r="D566" s="12"/>
      <c r="E566" s="12"/>
      <c r="F566" s="13"/>
      <c r="G566" s="12"/>
      <c r="H566" s="12"/>
    </row>
    <row r="567" spans="2:8" ht="22.5" customHeight="1">
      <c r="B567" s="12"/>
      <c r="C567" s="12"/>
      <c r="D567" s="12"/>
      <c r="E567" s="12"/>
      <c r="F567" s="13"/>
      <c r="G567" s="12"/>
      <c r="H567" s="12"/>
    </row>
    <row r="568" spans="2:8" ht="22.5" customHeight="1">
      <c r="B568" s="12"/>
      <c r="C568" s="12"/>
      <c r="D568" s="12"/>
      <c r="E568" s="12"/>
      <c r="F568" s="13"/>
      <c r="G568" s="12"/>
      <c r="H568" s="12"/>
    </row>
    <row r="569" spans="2:8" ht="22.5" customHeight="1">
      <c r="B569" s="12"/>
      <c r="C569" s="12"/>
      <c r="D569" s="12"/>
      <c r="E569" s="12"/>
      <c r="F569" s="13"/>
      <c r="G569" s="12"/>
      <c r="H569" s="12"/>
    </row>
    <row r="570" spans="2:8" ht="22.5" customHeight="1">
      <c r="B570" s="12"/>
      <c r="C570" s="12"/>
      <c r="D570" s="12"/>
      <c r="E570" s="12"/>
      <c r="F570" s="13"/>
      <c r="G570" s="12"/>
      <c r="H570" s="12"/>
    </row>
    <row r="571" spans="2:8" ht="22.5" customHeight="1">
      <c r="B571" s="12"/>
      <c r="C571" s="12"/>
      <c r="D571" s="12"/>
      <c r="E571" s="12"/>
      <c r="F571" s="13"/>
      <c r="G571" s="12"/>
      <c r="H571" s="12"/>
    </row>
    <row r="572" spans="2:8" ht="22.5" customHeight="1">
      <c r="B572" s="12"/>
      <c r="C572" s="12"/>
      <c r="D572" s="12"/>
      <c r="E572" s="12"/>
      <c r="F572" s="13"/>
      <c r="G572" s="12"/>
      <c r="H572" s="12"/>
    </row>
    <row r="573" spans="2:8" ht="22.5" customHeight="1">
      <c r="B573" s="12"/>
      <c r="C573" s="12"/>
      <c r="D573" s="12"/>
      <c r="E573" s="12"/>
      <c r="F573" s="13"/>
      <c r="G573" s="12"/>
      <c r="H573" s="12"/>
    </row>
    <row r="574" ht="22.5" customHeight="1">
      <c r="F574" s="14"/>
    </row>
    <row r="575" ht="22.5" customHeight="1">
      <c r="F575" s="14"/>
    </row>
    <row r="576" ht="22.5" customHeight="1">
      <c r="F576" s="14"/>
    </row>
    <row r="577" ht="22.5" customHeight="1">
      <c r="F577" s="14"/>
    </row>
    <row r="578" ht="22.5" customHeight="1">
      <c r="F578" s="14"/>
    </row>
    <row r="579" ht="22.5" customHeight="1">
      <c r="F579" s="14"/>
    </row>
    <row r="580" ht="22.5" customHeight="1">
      <c r="F580" s="14"/>
    </row>
    <row r="581" ht="22.5" customHeight="1">
      <c r="F581" s="14"/>
    </row>
    <row r="582" ht="22.5" customHeight="1">
      <c r="F582" s="14"/>
    </row>
    <row r="583" ht="22.5" customHeight="1">
      <c r="F583" s="14"/>
    </row>
    <row r="584" ht="22.5" customHeight="1">
      <c r="F584" s="14"/>
    </row>
    <row r="585" ht="22.5" customHeight="1">
      <c r="F585" s="14"/>
    </row>
    <row r="586" ht="22.5" customHeight="1">
      <c r="F586" s="14"/>
    </row>
    <row r="587" ht="22.5" customHeight="1">
      <c r="F587" s="14"/>
    </row>
    <row r="588" ht="22.5" customHeight="1">
      <c r="F588" s="14"/>
    </row>
    <row r="589" ht="22.5" customHeight="1">
      <c r="F589" s="14"/>
    </row>
    <row r="590" ht="22.5" customHeight="1">
      <c r="F590" s="14"/>
    </row>
    <row r="591" ht="22.5" customHeight="1">
      <c r="F591" s="14"/>
    </row>
    <row r="592" ht="22.5" customHeight="1">
      <c r="F592" s="14"/>
    </row>
    <row r="593" ht="22.5" customHeight="1">
      <c r="F593" s="14"/>
    </row>
    <row r="594" ht="22.5" customHeight="1">
      <c r="F594" s="14"/>
    </row>
    <row r="595" ht="22.5" customHeight="1">
      <c r="F595" s="14"/>
    </row>
    <row r="596" ht="22.5" customHeight="1">
      <c r="F596" s="14"/>
    </row>
    <row r="597" ht="22.5" customHeight="1">
      <c r="F597" s="14"/>
    </row>
    <row r="598" ht="22.5" customHeight="1">
      <c r="F598" s="14"/>
    </row>
    <row r="599" ht="22.5" customHeight="1">
      <c r="F599" s="14"/>
    </row>
    <row r="600" ht="22.5" customHeight="1">
      <c r="F600" s="14"/>
    </row>
    <row r="601" ht="22.5" customHeight="1">
      <c r="F601" s="14"/>
    </row>
    <row r="602" ht="22.5" customHeight="1">
      <c r="F602" s="14"/>
    </row>
    <row r="603" ht="22.5" customHeight="1">
      <c r="F603" s="14"/>
    </row>
    <row r="604" ht="22.5" customHeight="1">
      <c r="F604" s="14"/>
    </row>
    <row r="605" ht="22.5" customHeight="1">
      <c r="F605" s="14"/>
    </row>
    <row r="606" ht="22.5" customHeight="1">
      <c r="F606" s="14"/>
    </row>
    <row r="607" ht="22.5" customHeight="1">
      <c r="F607" s="14"/>
    </row>
    <row r="608" ht="22.5" customHeight="1">
      <c r="F608" s="14"/>
    </row>
    <row r="609" ht="22.5" customHeight="1">
      <c r="F609" s="14"/>
    </row>
    <row r="610" ht="22.5" customHeight="1">
      <c r="F610" s="14"/>
    </row>
    <row r="611" ht="22.5" customHeight="1">
      <c r="F611" s="14"/>
    </row>
    <row r="612" ht="22.5" customHeight="1">
      <c r="F612" s="14"/>
    </row>
    <row r="613" ht="22.5" customHeight="1">
      <c r="F613" s="14"/>
    </row>
    <row r="614" ht="22.5" customHeight="1">
      <c r="F614" s="14"/>
    </row>
    <row r="615" ht="22.5" customHeight="1">
      <c r="F615" s="14"/>
    </row>
    <row r="616" ht="22.5" customHeight="1">
      <c r="F616" s="14"/>
    </row>
    <row r="617" ht="22.5" customHeight="1">
      <c r="F617" s="14"/>
    </row>
    <row r="618" ht="22.5" customHeight="1">
      <c r="F618" s="14"/>
    </row>
    <row r="619" ht="22.5" customHeight="1">
      <c r="F619" s="14"/>
    </row>
    <row r="620" ht="22.5" customHeight="1">
      <c r="F620" s="14"/>
    </row>
    <row r="621" ht="22.5" customHeight="1">
      <c r="F621" s="14"/>
    </row>
    <row r="622" ht="22.5" customHeight="1">
      <c r="F622" s="14"/>
    </row>
    <row r="623" ht="22.5" customHeight="1">
      <c r="F623" s="14"/>
    </row>
    <row r="624" ht="22.5" customHeight="1">
      <c r="F624" s="14"/>
    </row>
    <row r="625" ht="22.5" customHeight="1">
      <c r="F625" s="14"/>
    </row>
    <row r="626" ht="22.5" customHeight="1">
      <c r="F626" s="14"/>
    </row>
    <row r="627" ht="22.5" customHeight="1">
      <c r="F627" s="14"/>
    </row>
    <row r="628" ht="22.5" customHeight="1">
      <c r="F628" s="14"/>
    </row>
    <row r="629" ht="22.5" customHeight="1">
      <c r="F629" s="14"/>
    </row>
    <row r="630" ht="22.5" customHeight="1">
      <c r="F630" s="14"/>
    </row>
    <row r="631" ht="22.5" customHeight="1">
      <c r="F631" s="14"/>
    </row>
    <row r="632" ht="22.5" customHeight="1">
      <c r="F632" s="14"/>
    </row>
    <row r="633" ht="22.5" customHeight="1">
      <c r="F633" s="14"/>
    </row>
    <row r="634" ht="22.5" customHeight="1">
      <c r="F634" s="14"/>
    </row>
    <row r="635" ht="22.5" customHeight="1">
      <c r="F635" s="14"/>
    </row>
    <row r="636" ht="22.5" customHeight="1">
      <c r="F636" s="14"/>
    </row>
    <row r="637" ht="22.5" customHeight="1">
      <c r="F637" s="14"/>
    </row>
    <row r="638" ht="22.5" customHeight="1">
      <c r="F638" s="14"/>
    </row>
    <row r="639" ht="22.5" customHeight="1">
      <c r="F639" s="14"/>
    </row>
    <row r="640" ht="22.5" customHeight="1">
      <c r="F640" s="14"/>
    </row>
    <row r="641" ht="22.5" customHeight="1">
      <c r="F641" s="14"/>
    </row>
    <row r="642" ht="22.5" customHeight="1">
      <c r="F642" s="14"/>
    </row>
    <row r="643" ht="22.5" customHeight="1">
      <c r="F643" s="14"/>
    </row>
    <row r="644" ht="22.5" customHeight="1">
      <c r="F644" s="14"/>
    </row>
    <row r="645" ht="22.5" customHeight="1">
      <c r="F645" s="14"/>
    </row>
    <row r="646" ht="22.5" customHeight="1">
      <c r="F646" s="14"/>
    </row>
    <row r="647" ht="22.5" customHeight="1">
      <c r="F647" s="14"/>
    </row>
    <row r="648" ht="22.5" customHeight="1">
      <c r="F648" s="14"/>
    </row>
    <row r="649" ht="22.5" customHeight="1">
      <c r="F649" s="14"/>
    </row>
    <row r="650" ht="22.5" customHeight="1">
      <c r="F650" s="14"/>
    </row>
    <row r="651" ht="22.5" customHeight="1">
      <c r="F651" s="14"/>
    </row>
    <row r="652" ht="22.5" customHeight="1">
      <c r="F652" s="14"/>
    </row>
    <row r="653" ht="22.5" customHeight="1">
      <c r="F653" s="14"/>
    </row>
    <row r="654" ht="22.5" customHeight="1">
      <c r="F654" s="14"/>
    </row>
    <row r="655" ht="22.5" customHeight="1">
      <c r="F655" s="14"/>
    </row>
    <row r="656" ht="22.5" customHeight="1">
      <c r="F656" s="14"/>
    </row>
    <row r="657" ht="22.5" customHeight="1">
      <c r="F657" s="14"/>
    </row>
    <row r="658" ht="22.5" customHeight="1">
      <c r="F658" s="14"/>
    </row>
    <row r="659" ht="22.5" customHeight="1">
      <c r="F659" s="14"/>
    </row>
    <row r="660" ht="22.5" customHeight="1">
      <c r="F660" s="14"/>
    </row>
    <row r="661" ht="22.5" customHeight="1">
      <c r="F661" s="14"/>
    </row>
    <row r="662" ht="22.5" customHeight="1">
      <c r="F662" s="14"/>
    </row>
    <row r="663" ht="22.5" customHeight="1">
      <c r="F663" s="14"/>
    </row>
    <row r="664" ht="22.5" customHeight="1">
      <c r="F664" s="14"/>
    </row>
    <row r="665" ht="22.5" customHeight="1">
      <c r="F665" s="14"/>
    </row>
    <row r="666" ht="22.5" customHeight="1">
      <c r="F666" s="14"/>
    </row>
    <row r="667" ht="22.5" customHeight="1">
      <c r="F667" s="14"/>
    </row>
    <row r="668" ht="22.5" customHeight="1">
      <c r="F668" s="14"/>
    </row>
    <row r="669" ht="22.5" customHeight="1">
      <c r="F669" s="14"/>
    </row>
    <row r="670" ht="22.5" customHeight="1">
      <c r="F670" s="14"/>
    </row>
    <row r="671" ht="22.5" customHeight="1">
      <c r="F671" s="14"/>
    </row>
    <row r="672" ht="22.5" customHeight="1">
      <c r="F672" s="14"/>
    </row>
    <row r="673" ht="22.5" customHeight="1">
      <c r="F673" s="14"/>
    </row>
    <row r="674" ht="22.5" customHeight="1">
      <c r="F674" s="14"/>
    </row>
    <row r="675" ht="22.5" customHeight="1">
      <c r="F675" s="14"/>
    </row>
    <row r="676" ht="22.5" customHeight="1">
      <c r="F676" s="14"/>
    </row>
    <row r="677" ht="22.5" customHeight="1">
      <c r="F677" s="14"/>
    </row>
    <row r="678" ht="22.5" customHeight="1">
      <c r="F678" s="14"/>
    </row>
    <row r="679" ht="22.5" customHeight="1">
      <c r="F679" s="14"/>
    </row>
    <row r="680" ht="22.5" customHeight="1">
      <c r="F680" s="14"/>
    </row>
    <row r="681" ht="22.5" customHeight="1">
      <c r="F681" s="14"/>
    </row>
    <row r="682" ht="22.5" customHeight="1">
      <c r="F682" s="14"/>
    </row>
    <row r="683" ht="22.5" customHeight="1">
      <c r="F683" s="14"/>
    </row>
    <row r="684" ht="22.5" customHeight="1">
      <c r="F684" s="14"/>
    </row>
    <row r="685" ht="22.5" customHeight="1">
      <c r="F685" s="14"/>
    </row>
    <row r="686" ht="22.5" customHeight="1">
      <c r="F686" s="14"/>
    </row>
    <row r="687" ht="22.5" customHeight="1">
      <c r="F687" s="14"/>
    </row>
    <row r="688" ht="22.5" customHeight="1">
      <c r="F688" s="14"/>
    </row>
    <row r="689" ht="22.5" customHeight="1">
      <c r="F689" s="14"/>
    </row>
    <row r="690" ht="22.5" customHeight="1">
      <c r="F690" s="14"/>
    </row>
    <row r="691" ht="22.5" customHeight="1">
      <c r="F691" s="14"/>
    </row>
    <row r="692" ht="22.5" customHeight="1">
      <c r="F692" s="14"/>
    </row>
    <row r="693" ht="22.5" customHeight="1">
      <c r="F693" s="14"/>
    </row>
    <row r="694" ht="22.5" customHeight="1">
      <c r="F694" s="14"/>
    </row>
    <row r="695" ht="22.5" customHeight="1">
      <c r="F695" s="14"/>
    </row>
    <row r="696" ht="22.5" customHeight="1">
      <c r="F696" s="14"/>
    </row>
    <row r="697" ht="22.5" customHeight="1">
      <c r="F697" s="14"/>
    </row>
    <row r="698" ht="22.5" customHeight="1">
      <c r="F698" s="14"/>
    </row>
    <row r="699" ht="22.5" customHeight="1">
      <c r="F699" s="14"/>
    </row>
    <row r="700" ht="22.5" customHeight="1">
      <c r="F700" s="14"/>
    </row>
    <row r="701" ht="22.5" customHeight="1">
      <c r="F701" s="14"/>
    </row>
    <row r="702" ht="22.5" customHeight="1">
      <c r="F702" s="14"/>
    </row>
    <row r="703" ht="22.5" customHeight="1">
      <c r="F703" s="14"/>
    </row>
    <row r="704" ht="22.5" customHeight="1">
      <c r="F704" s="14"/>
    </row>
    <row r="705" ht="22.5" customHeight="1">
      <c r="F705" s="14"/>
    </row>
    <row r="706" ht="22.5" customHeight="1">
      <c r="F706" s="14"/>
    </row>
    <row r="707" ht="22.5" customHeight="1">
      <c r="F707" s="14"/>
    </row>
    <row r="708" ht="22.5" customHeight="1">
      <c r="F708" s="14"/>
    </row>
    <row r="709" ht="22.5" customHeight="1">
      <c r="F709" s="14"/>
    </row>
    <row r="710" ht="22.5" customHeight="1">
      <c r="F710" s="14"/>
    </row>
    <row r="711" ht="22.5" customHeight="1">
      <c r="F711" s="14"/>
    </row>
    <row r="712" ht="22.5" customHeight="1">
      <c r="F712" s="14"/>
    </row>
    <row r="713" ht="22.5" customHeight="1">
      <c r="F713" s="14"/>
    </row>
    <row r="714" ht="22.5" customHeight="1">
      <c r="F714" s="14"/>
    </row>
    <row r="715" ht="22.5" customHeight="1">
      <c r="F715" s="14"/>
    </row>
    <row r="716" ht="22.5" customHeight="1">
      <c r="F716" s="14"/>
    </row>
    <row r="717" ht="22.5" customHeight="1">
      <c r="F717" s="14"/>
    </row>
    <row r="718" ht="22.5" customHeight="1">
      <c r="F718" s="14"/>
    </row>
    <row r="719" ht="22.5" customHeight="1">
      <c r="F719" s="14"/>
    </row>
    <row r="720" ht="22.5" customHeight="1">
      <c r="F720" s="14"/>
    </row>
    <row r="721" ht="22.5" customHeight="1">
      <c r="F721" s="14"/>
    </row>
    <row r="722" ht="22.5" customHeight="1">
      <c r="F722" s="14"/>
    </row>
    <row r="723" ht="22.5" customHeight="1">
      <c r="F723" s="14"/>
    </row>
    <row r="724" ht="22.5" customHeight="1">
      <c r="F724" s="14"/>
    </row>
    <row r="725" ht="22.5" customHeight="1">
      <c r="F725" s="14"/>
    </row>
    <row r="726" ht="22.5" customHeight="1">
      <c r="F726" s="14"/>
    </row>
    <row r="727" ht="22.5" customHeight="1">
      <c r="F727" s="14"/>
    </row>
    <row r="728" ht="22.5" customHeight="1">
      <c r="F728" s="14"/>
    </row>
    <row r="729" ht="22.5" customHeight="1">
      <c r="F729" s="14"/>
    </row>
    <row r="730" ht="22.5" customHeight="1">
      <c r="F730" s="14"/>
    </row>
    <row r="731" ht="22.5" customHeight="1">
      <c r="F731" s="14"/>
    </row>
    <row r="732" ht="22.5" customHeight="1">
      <c r="F732" s="14"/>
    </row>
    <row r="733" ht="22.5" customHeight="1">
      <c r="F733" s="14"/>
    </row>
    <row r="734" ht="22.5" customHeight="1">
      <c r="F734" s="14"/>
    </row>
    <row r="735" ht="22.5" customHeight="1">
      <c r="F735" s="14"/>
    </row>
    <row r="736" ht="22.5" customHeight="1">
      <c r="F736" s="14"/>
    </row>
    <row r="737" ht="22.5" customHeight="1">
      <c r="F737" s="14"/>
    </row>
    <row r="738" ht="22.5" customHeight="1">
      <c r="F738" s="14"/>
    </row>
    <row r="739" ht="22.5" customHeight="1">
      <c r="F739" s="14"/>
    </row>
    <row r="740" ht="22.5" customHeight="1">
      <c r="F740" s="14"/>
    </row>
    <row r="741" ht="22.5" customHeight="1">
      <c r="F741" s="14"/>
    </row>
    <row r="742" ht="22.5" customHeight="1">
      <c r="F742" s="14"/>
    </row>
    <row r="743" ht="22.5" customHeight="1">
      <c r="F743" s="14"/>
    </row>
    <row r="744" ht="22.5" customHeight="1">
      <c r="F744" s="14"/>
    </row>
    <row r="745" ht="22.5" customHeight="1">
      <c r="F745" s="14"/>
    </row>
    <row r="746" ht="22.5" customHeight="1">
      <c r="F746" s="14"/>
    </row>
    <row r="747" ht="22.5" customHeight="1">
      <c r="F747" s="14"/>
    </row>
    <row r="748" ht="22.5" customHeight="1">
      <c r="F748" s="14"/>
    </row>
    <row r="749" ht="22.5" customHeight="1">
      <c r="F749" s="14"/>
    </row>
    <row r="750" ht="22.5" customHeight="1">
      <c r="F750" s="14"/>
    </row>
    <row r="751" ht="22.5" customHeight="1">
      <c r="F751" s="14"/>
    </row>
    <row r="752" ht="22.5" customHeight="1">
      <c r="F752" s="14"/>
    </row>
    <row r="753" ht="22.5" customHeight="1">
      <c r="F753" s="14"/>
    </row>
    <row r="754" ht="22.5" customHeight="1">
      <c r="F754" s="14"/>
    </row>
    <row r="755" ht="22.5" customHeight="1">
      <c r="F755" s="14"/>
    </row>
    <row r="756" ht="22.5" customHeight="1">
      <c r="F756" s="14"/>
    </row>
    <row r="757" ht="22.5" customHeight="1">
      <c r="F757" s="14"/>
    </row>
    <row r="758" ht="22.5" customHeight="1">
      <c r="F758" s="14"/>
    </row>
    <row r="759" ht="22.5" customHeight="1">
      <c r="F759" s="14"/>
    </row>
    <row r="760" ht="22.5" customHeight="1">
      <c r="F760" s="14"/>
    </row>
    <row r="761" ht="22.5" customHeight="1">
      <c r="F761" s="14"/>
    </row>
    <row r="762" ht="22.5" customHeight="1">
      <c r="F762" s="14"/>
    </row>
    <row r="763" ht="22.5" customHeight="1">
      <c r="F763" s="14"/>
    </row>
    <row r="764" ht="22.5" customHeight="1">
      <c r="F764" s="14"/>
    </row>
    <row r="765" ht="22.5" customHeight="1">
      <c r="F765" s="14"/>
    </row>
    <row r="766" ht="22.5" customHeight="1">
      <c r="F766" s="14"/>
    </row>
    <row r="767" ht="22.5" customHeight="1">
      <c r="F767" s="14"/>
    </row>
    <row r="768" ht="22.5" customHeight="1">
      <c r="F768" s="14"/>
    </row>
    <row r="769" ht="22.5" customHeight="1">
      <c r="F769" s="14"/>
    </row>
    <row r="770" ht="22.5" customHeight="1">
      <c r="F770" s="14"/>
    </row>
    <row r="771" ht="22.5" customHeight="1">
      <c r="F771" s="14"/>
    </row>
    <row r="772" ht="22.5" customHeight="1">
      <c r="F772" s="14"/>
    </row>
    <row r="773" ht="22.5" customHeight="1">
      <c r="F773" s="14"/>
    </row>
    <row r="774" ht="22.5" customHeight="1">
      <c r="F774" s="14"/>
    </row>
    <row r="775" ht="22.5" customHeight="1">
      <c r="F775" s="14"/>
    </row>
    <row r="776" ht="22.5" customHeight="1">
      <c r="F776" s="14"/>
    </row>
    <row r="777" ht="22.5" customHeight="1">
      <c r="F777" s="14"/>
    </row>
    <row r="778" ht="22.5" customHeight="1">
      <c r="F778" s="14"/>
    </row>
    <row r="779" ht="22.5" customHeight="1">
      <c r="F779" s="14"/>
    </row>
    <row r="780" ht="22.5" customHeight="1">
      <c r="F780" s="14"/>
    </row>
    <row r="781" ht="22.5" customHeight="1">
      <c r="F781" s="14"/>
    </row>
    <row r="782" ht="22.5" customHeight="1">
      <c r="F782" s="14"/>
    </row>
    <row r="783" ht="22.5" customHeight="1">
      <c r="F783" s="14"/>
    </row>
    <row r="784" ht="22.5" customHeight="1">
      <c r="F784" s="14"/>
    </row>
    <row r="785" ht="22.5" customHeight="1">
      <c r="F785" s="14"/>
    </row>
    <row r="786" ht="22.5" customHeight="1">
      <c r="F786" s="14"/>
    </row>
    <row r="787" ht="22.5" customHeight="1">
      <c r="F787" s="14"/>
    </row>
    <row r="788" ht="22.5" customHeight="1">
      <c r="F788" s="14"/>
    </row>
    <row r="789" ht="22.5" customHeight="1">
      <c r="F789" s="14"/>
    </row>
    <row r="790" ht="22.5" customHeight="1">
      <c r="F790" s="14"/>
    </row>
    <row r="791" ht="22.5" customHeight="1">
      <c r="F791" s="14"/>
    </row>
    <row r="792" ht="22.5" customHeight="1">
      <c r="F792" s="14"/>
    </row>
    <row r="793" ht="22.5" customHeight="1">
      <c r="F793" s="14"/>
    </row>
    <row r="794" ht="22.5" customHeight="1">
      <c r="F794" s="14"/>
    </row>
    <row r="795" ht="22.5" customHeight="1">
      <c r="F795" s="14"/>
    </row>
    <row r="796" ht="22.5" customHeight="1">
      <c r="F796" s="14"/>
    </row>
    <row r="797" ht="22.5" customHeight="1">
      <c r="F797" s="14"/>
    </row>
    <row r="798" ht="22.5" customHeight="1">
      <c r="F798" s="14"/>
    </row>
    <row r="799" ht="22.5" customHeight="1">
      <c r="F799" s="14"/>
    </row>
    <row r="800" ht="22.5" customHeight="1">
      <c r="F800" s="14"/>
    </row>
    <row r="801" ht="22.5" customHeight="1">
      <c r="F801" s="14"/>
    </row>
    <row r="802" ht="22.5" customHeight="1">
      <c r="F802" s="14"/>
    </row>
    <row r="803" ht="22.5" customHeight="1">
      <c r="F803" s="14"/>
    </row>
    <row r="804" ht="22.5" customHeight="1">
      <c r="F804" s="14"/>
    </row>
    <row r="805" ht="22.5" customHeight="1">
      <c r="F805" s="14"/>
    </row>
    <row r="806" ht="22.5" customHeight="1">
      <c r="F806" s="14"/>
    </row>
    <row r="807" ht="22.5" customHeight="1">
      <c r="F807" s="14"/>
    </row>
    <row r="808" ht="22.5" customHeight="1">
      <c r="F808" s="14"/>
    </row>
    <row r="809" ht="22.5" customHeight="1">
      <c r="F809" s="14"/>
    </row>
    <row r="810" ht="22.5" customHeight="1">
      <c r="F810" s="14"/>
    </row>
    <row r="811" ht="22.5" customHeight="1">
      <c r="F811" s="14"/>
    </row>
    <row r="812" ht="22.5" customHeight="1">
      <c r="F812" s="14"/>
    </row>
    <row r="813" ht="22.5" customHeight="1">
      <c r="F813" s="14"/>
    </row>
    <row r="814" ht="22.5" customHeight="1">
      <c r="F814" s="14"/>
    </row>
    <row r="815" ht="22.5" customHeight="1">
      <c r="F815" s="14"/>
    </row>
    <row r="816" ht="22.5" customHeight="1">
      <c r="F816" s="14"/>
    </row>
    <row r="817" ht="22.5" customHeight="1">
      <c r="F817" s="14"/>
    </row>
    <row r="818" ht="22.5" customHeight="1">
      <c r="F818" s="14"/>
    </row>
    <row r="819" ht="22.5" customHeight="1">
      <c r="F819" s="14"/>
    </row>
    <row r="820" ht="22.5" customHeight="1">
      <c r="F820" s="14"/>
    </row>
    <row r="821" ht="22.5" customHeight="1">
      <c r="F821" s="14"/>
    </row>
    <row r="822" ht="22.5" customHeight="1">
      <c r="F822" s="14"/>
    </row>
    <row r="823" ht="22.5" customHeight="1">
      <c r="F823" s="14"/>
    </row>
    <row r="824" ht="22.5" customHeight="1">
      <c r="F824" s="14"/>
    </row>
    <row r="825" ht="22.5" customHeight="1">
      <c r="F825" s="14"/>
    </row>
    <row r="826" ht="22.5" customHeight="1">
      <c r="F826" s="14"/>
    </row>
    <row r="827" ht="22.5" customHeight="1">
      <c r="F827" s="14"/>
    </row>
    <row r="828" ht="22.5" customHeight="1">
      <c r="F828" s="14"/>
    </row>
    <row r="829" ht="22.5" customHeight="1">
      <c r="F829" s="14"/>
    </row>
    <row r="830" ht="22.5" customHeight="1">
      <c r="F830" s="14"/>
    </row>
    <row r="831" ht="22.5" customHeight="1">
      <c r="F831" s="14"/>
    </row>
    <row r="832" ht="22.5" customHeight="1">
      <c r="F832" s="14"/>
    </row>
    <row r="833" ht="22.5" customHeight="1">
      <c r="F833" s="14"/>
    </row>
    <row r="834" ht="22.5" customHeight="1">
      <c r="F834" s="14"/>
    </row>
    <row r="835" ht="22.5" customHeight="1">
      <c r="F835" s="14"/>
    </row>
    <row r="836" ht="22.5" customHeight="1">
      <c r="F836" s="14"/>
    </row>
    <row r="837" ht="22.5" customHeight="1">
      <c r="F837" s="14"/>
    </row>
    <row r="838" ht="22.5" customHeight="1">
      <c r="F838" s="14"/>
    </row>
    <row r="839" ht="22.5" customHeight="1">
      <c r="F839" s="14"/>
    </row>
    <row r="840" ht="22.5" customHeight="1">
      <c r="F840" s="14"/>
    </row>
    <row r="841" ht="22.5" customHeight="1">
      <c r="F841" s="14"/>
    </row>
    <row r="842" ht="22.5" customHeight="1">
      <c r="F842" s="14"/>
    </row>
    <row r="843" ht="22.5" customHeight="1">
      <c r="F843" s="14"/>
    </row>
    <row r="844" ht="22.5" customHeight="1">
      <c r="F844" s="14"/>
    </row>
    <row r="845" ht="22.5" customHeight="1">
      <c r="F845" s="14"/>
    </row>
    <row r="846" ht="22.5" customHeight="1">
      <c r="F846" s="14"/>
    </row>
    <row r="847" ht="22.5" customHeight="1">
      <c r="F847" s="14"/>
    </row>
    <row r="848" ht="22.5" customHeight="1">
      <c r="F848" s="14"/>
    </row>
    <row r="849" ht="22.5" customHeight="1">
      <c r="F849" s="14"/>
    </row>
    <row r="850" ht="22.5" customHeight="1">
      <c r="F850" s="14"/>
    </row>
    <row r="851" ht="22.5" customHeight="1">
      <c r="F851" s="14"/>
    </row>
    <row r="852" ht="22.5" customHeight="1">
      <c r="F852" s="14"/>
    </row>
    <row r="853" ht="22.5" customHeight="1">
      <c r="F853" s="14"/>
    </row>
    <row r="854" ht="22.5" customHeight="1">
      <c r="F854" s="14"/>
    </row>
    <row r="855" ht="22.5" customHeight="1">
      <c r="F855" s="14"/>
    </row>
    <row r="856" ht="22.5" customHeight="1">
      <c r="F856" s="14"/>
    </row>
    <row r="857" ht="22.5" customHeight="1">
      <c r="F857" s="14"/>
    </row>
    <row r="858" ht="22.5" customHeight="1">
      <c r="F858" s="14"/>
    </row>
    <row r="859" ht="22.5" customHeight="1">
      <c r="F859" s="14"/>
    </row>
    <row r="860" ht="22.5" customHeight="1">
      <c r="F860" s="14"/>
    </row>
    <row r="861" ht="22.5" customHeight="1">
      <c r="F861" s="14"/>
    </row>
    <row r="862" ht="22.5" customHeight="1">
      <c r="F862" s="14"/>
    </row>
    <row r="863" ht="22.5" customHeight="1">
      <c r="F863" s="14"/>
    </row>
    <row r="864" ht="22.5" customHeight="1">
      <c r="F864" s="14"/>
    </row>
    <row r="865" ht="22.5" customHeight="1">
      <c r="F865" s="14"/>
    </row>
    <row r="866" ht="22.5" customHeight="1">
      <c r="F866" s="14"/>
    </row>
    <row r="867" ht="22.5" customHeight="1">
      <c r="F867" s="14"/>
    </row>
    <row r="868" ht="22.5" customHeight="1">
      <c r="F868" s="14"/>
    </row>
    <row r="869" ht="22.5" customHeight="1">
      <c r="F869" s="14"/>
    </row>
    <row r="870" ht="22.5" customHeight="1">
      <c r="F870" s="14"/>
    </row>
    <row r="871" ht="22.5" customHeight="1">
      <c r="F871" s="14"/>
    </row>
    <row r="872" ht="22.5" customHeight="1">
      <c r="F872" s="14"/>
    </row>
    <row r="873" ht="22.5" customHeight="1">
      <c r="F873" s="14"/>
    </row>
    <row r="874" ht="22.5" customHeight="1">
      <c r="F874" s="14"/>
    </row>
    <row r="875" ht="22.5" customHeight="1">
      <c r="F875" s="14"/>
    </row>
    <row r="876" ht="22.5" customHeight="1">
      <c r="F876" s="14"/>
    </row>
    <row r="877" ht="22.5" customHeight="1">
      <c r="F877" s="14"/>
    </row>
    <row r="878" ht="22.5" customHeight="1">
      <c r="F878" s="14"/>
    </row>
    <row r="879" ht="22.5" customHeight="1">
      <c r="F879" s="14"/>
    </row>
    <row r="880" ht="22.5" customHeight="1">
      <c r="F880" s="14"/>
    </row>
    <row r="881" ht="22.5" customHeight="1">
      <c r="F881" s="14"/>
    </row>
    <row r="882" ht="22.5" customHeight="1">
      <c r="F882" s="14"/>
    </row>
    <row r="883" ht="22.5" customHeight="1">
      <c r="F883" s="14"/>
    </row>
    <row r="884" ht="22.5" customHeight="1">
      <c r="F884" s="14"/>
    </row>
    <row r="885" ht="22.5" customHeight="1">
      <c r="F885" s="14"/>
    </row>
    <row r="886" ht="22.5" customHeight="1">
      <c r="F886" s="14"/>
    </row>
    <row r="887" ht="22.5" customHeight="1">
      <c r="F887" s="14"/>
    </row>
    <row r="888" ht="22.5" customHeight="1">
      <c r="F888" s="14"/>
    </row>
    <row r="889" ht="22.5" customHeight="1">
      <c r="F889" s="14"/>
    </row>
    <row r="890" ht="22.5" customHeight="1">
      <c r="F890" s="14"/>
    </row>
    <row r="891" ht="22.5" customHeight="1">
      <c r="F891" s="14"/>
    </row>
    <row r="892" ht="22.5" customHeight="1">
      <c r="F892" s="14"/>
    </row>
    <row r="893" ht="22.5" customHeight="1">
      <c r="F893" s="14"/>
    </row>
    <row r="894" ht="22.5" customHeight="1">
      <c r="F894" s="14"/>
    </row>
    <row r="895" ht="22.5" customHeight="1">
      <c r="F895" s="14"/>
    </row>
    <row r="896" ht="22.5" customHeight="1">
      <c r="F896" s="14"/>
    </row>
    <row r="897" ht="22.5" customHeight="1">
      <c r="F897" s="14"/>
    </row>
    <row r="898" ht="22.5" customHeight="1">
      <c r="F898" s="14"/>
    </row>
    <row r="899" ht="22.5" customHeight="1">
      <c r="F899" s="14"/>
    </row>
    <row r="900" ht="22.5" customHeight="1">
      <c r="F900" s="14"/>
    </row>
    <row r="901" ht="22.5" customHeight="1">
      <c r="F901" s="14"/>
    </row>
    <row r="902" ht="22.5" customHeight="1">
      <c r="F902" s="14"/>
    </row>
    <row r="903" ht="22.5" customHeight="1">
      <c r="F903" s="14"/>
    </row>
    <row r="904" ht="22.5" customHeight="1">
      <c r="F904" s="14"/>
    </row>
    <row r="905" ht="22.5" customHeight="1">
      <c r="F905" s="14"/>
    </row>
    <row r="906" ht="22.5" customHeight="1">
      <c r="F906" s="14"/>
    </row>
    <row r="907" ht="22.5" customHeight="1">
      <c r="F907" s="14"/>
    </row>
    <row r="908" ht="22.5" customHeight="1">
      <c r="F908" s="14"/>
    </row>
    <row r="909" ht="22.5" customHeight="1">
      <c r="F909" s="14"/>
    </row>
    <row r="910" ht="22.5" customHeight="1">
      <c r="F910" s="14"/>
    </row>
    <row r="911" ht="22.5" customHeight="1">
      <c r="F911" s="14"/>
    </row>
    <row r="912" ht="22.5" customHeight="1">
      <c r="F912" s="14"/>
    </row>
    <row r="913" ht="22.5" customHeight="1">
      <c r="F913" s="14"/>
    </row>
    <row r="914" ht="22.5" customHeight="1">
      <c r="F914" s="14"/>
    </row>
    <row r="915" ht="22.5" customHeight="1">
      <c r="F915" s="14"/>
    </row>
    <row r="916" ht="22.5" customHeight="1">
      <c r="F916" s="14"/>
    </row>
    <row r="917" ht="22.5" customHeight="1">
      <c r="F917" s="14"/>
    </row>
    <row r="918" ht="22.5" customHeight="1">
      <c r="F918" s="14"/>
    </row>
    <row r="919" ht="22.5" customHeight="1">
      <c r="F919" s="14"/>
    </row>
    <row r="920" ht="22.5" customHeight="1">
      <c r="F920" s="14"/>
    </row>
    <row r="921" ht="22.5" customHeight="1">
      <c r="F921" s="14"/>
    </row>
    <row r="922" ht="22.5" customHeight="1">
      <c r="F922" s="14"/>
    </row>
    <row r="923" ht="22.5" customHeight="1">
      <c r="F923" s="14"/>
    </row>
    <row r="924" ht="22.5" customHeight="1">
      <c r="F924" s="14"/>
    </row>
    <row r="925" ht="22.5" customHeight="1">
      <c r="F925" s="14"/>
    </row>
    <row r="926" ht="22.5" customHeight="1">
      <c r="F926" s="14"/>
    </row>
    <row r="927" ht="22.5" customHeight="1">
      <c r="F927" s="14"/>
    </row>
    <row r="928" ht="22.5" customHeight="1">
      <c r="F928" s="14"/>
    </row>
    <row r="929" ht="22.5" customHeight="1">
      <c r="F929" s="14"/>
    </row>
    <row r="930" ht="22.5" customHeight="1">
      <c r="F930" s="14"/>
    </row>
    <row r="931" ht="22.5" customHeight="1">
      <c r="F931" s="14"/>
    </row>
    <row r="932" ht="22.5" customHeight="1">
      <c r="F932" s="14"/>
    </row>
    <row r="933" ht="22.5" customHeight="1">
      <c r="F933" s="14"/>
    </row>
    <row r="934" ht="22.5" customHeight="1">
      <c r="F934" s="14"/>
    </row>
    <row r="935" ht="22.5" customHeight="1">
      <c r="F935" s="14"/>
    </row>
    <row r="936" ht="22.5" customHeight="1">
      <c r="F936" s="14"/>
    </row>
    <row r="937" ht="22.5" customHeight="1">
      <c r="F937" s="14"/>
    </row>
    <row r="938" ht="22.5" customHeight="1">
      <c r="F938" s="14"/>
    </row>
    <row r="939" ht="22.5" customHeight="1">
      <c r="F939" s="14"/>
    </row>
    <row r="940" ht="22.5" customHeight="1">
      <c r="F940" s="14"/>
    </row>
    <row r="941" ht="22.5" customHeight="1">
      <c r="F941" s="14"/>
    </row>
    <row r="942" ht="22.5" customHeight="1">
      <c r="F942" s="14"/>
    </row>
    <row r="943" ht="22.5" customHeight="1">
      <c r="F943" s="14"/>
    </row>
    <row r="944" ht="22.5" customHeight="1">
      <c r="F944" s="14"/>
    </row>
    <row r="945" ht="22.5" customHeight="1">
      <c r="F945" s="14"/>
    </row>
    <row r="946" ht="22.5" customHeight="1">
      <c r="F946" s="14"/>
    </row>
    <row r="947" ht="22.5" customHeight="1">
      <c r="F947" s="14"/>
    </row>
    <row r="948" ht="22.5" customHeight="1">
      <c r="F948" s="14"/>
    </row>
    <row r="949" ht="22.5" customHeight="1">
      <c r="F949" s="14"/>
    </row>
    <row r="950" ht="22.5" customHeight="1">
      <c r="F950" s="14"/>
    </row>
    <row r="951" ht="22.5" customHeight="1">
      <c r="F951" s="14"/>
    </row>
    <row r="952" ht="22.5" customHeight="1">
      <c r="F952" s="14"/>
    </row>
    <row r="953" ht="22.5" customHeight="1">
      <c r="F953" s="14"/>
    </row>
    <row r="954" ht="22.5" customHeight="1">
      <c r="F954" s="14"/>
    </row>
    <row r="955" ht="22.5" customHeight="1">
      <c r="F955" s="14"/>
    </row>
    <row r="956" ht="22.5" customHeight="1">
      <c r="F956" s="14"/>
    </row>
    <row r="957" ht="22.5" customHeight="1">
      <c r="F957" s="14"/>
    </row>
    <row r="958" ht="22.5" customHeight="1">
      <c r="F958" s="14"/>
    </row>
    <row r="959" ht="22.5" customHeight="1">
      <c r="F959" s="14"/>
    </row>
    <row r="960" ht="22.5" customHeight="1">
      <c r="F960" s="14"/>
    </row>
    <row r="961" ht="22.5" customHeight="1">
      <c r="F961" s="14"/>
    </row>
    <row r="962" ht="22.5" customHeight="1">
      <c r="F962" s="14"/>
    </row>
    <row r="963" ht="22.5" customHeight="1">
      <c r="F963" s="14"/>
    </row>
    <row r="964" ht="22.5" customHeight="1">
      <c r="F964" s="14"/>
    </row>
    <row r="965" ht="22.5" customHeight="1">
      <c r="F965" s="14"/>
    </row>
    <row r="966" ht="22.5" customHeight="1">
      <c r="F966" s="14"/>
    </row>
    <row r="967" ht="22.5" customHeight="1">
      <c r="F967" s="14"/>
    </row>
    <row r="968" ht="22.5" customHeight="1">
      <c r="F968" s="14"/>
    </row>
    <row r="969" ht="22.5" customHeight="1">
      <c r="F969" s="14"/>
    </row>
    <row r="970" ht="22.5" customHeight="1">
      <c r="F970" s="14"/>
    </row>
    <row r="971" ht="22.5" customHeight="1">
      <c r="F971" s="14"/>
    </row>
    <row r="972" ht="22.5" customHeight="1">
      <c r="F972" s="14"/>
    </row>
    <row r="973" ht="22.5" customHeight="1">
      <c r="F973" s="14"/>
    </row>
    <row r="974" ht="22.5" customHeight="1">
      <c r="F974" s="14"/>
    </row>
    <row r="975" ht="22.5" customHeight="1">
      <c r="F975" s="14"/>
    </row>
    <row r="976" ht="22.5" customHeight="1">
      <c r="F976" s="14"/>
    </row>
    <row r="977" ht="22.5" customHeight="1">
      <c r="F977" s="14"/>
    </row>
    <row r="978" ht="22.5" customHeight="1">
      <c r="F978" s="14"/>
    </row>
    <row r="979" ht="22.5" customHeight="1">
      <c r="F979" s="14"/>
    </row>
    <row r="980" ht="22.5" customHeight="1">
      <c r="F980" s="14"/>
    </row>
    <row r="981" ht="22.5" customHeight="1">
      <c r="F981" s="14"/>
    </row>
    <row r="982" ht="22.5" customHeight="1">
      <c r="F982" s="14"/>
    </row>
    <row r="983" ht="22.5" customHeight="1">
      <c r="F983" s="14"/>
    </row>
    <row r="984" ht="22.5" customHeight="1">
      <c r="F984" s="14"/>
    </row>
    <row r="985" ht="22.5" customHeight="1">
      <c r="F985" s="14"/>
    </row>
    <row r="986" ht="22.5" customHeight="1">
      <c r="F986" s="14"/>
    </row>
    <row r="987" ht="22.5" customHeight="1">
      <c r="F987" s="14"/>
    </row>
    <row r="988" ht="22.5" customHeight="1">
      <c r="F988" s="14"/>
    </row>
    <row r="989" ht="22.5" customHeight="1">
      <c r="F989" s="14"/>
    </row>
    <row r="990" ht="22.5" customHeight="1">
      <c r="F990" s="14"/>
    </row>
    <row r="991" ht="22.5" customHeight="1">
      <c r="F991" s="14"/>
    </row>
    <row r="992" ht="22.5" customHeight="1">
      <c r="F992" s="14"/>
    </row>
    <row r="993" ht="22.5" customHeight="1">
      <c r="F993" s="14"/>
    </row>
    <row r="994" ht="22.5" customHeight="1">
      <c r="F994" s="14"/>
    </row>
    <row r="995" ht="22.5" customHeight="1">
      <c r="F995" s="14"/>
    </row>
    <row r="996" ht="22.5" customHeight="1">
      <c r="F996" s="14"/>
    </row>
    <row r="997" ht="22.5" customHeight="1">
      <c r="F997" s="14"/>
    </row>
    <row r="998" ht="22.5" customHeight="1">
      <c r="F998" s="14"/>
    </row>
    <row r="999" ht="22.5" customHeight="1">
      <c r="F999" s="14"/>
    </row>
    <row r="1000" ht="22.5" customHeight="1">
      <c r="F1000" s="14"/>
    </row>
    <row r="1001" ht="22.5" customHeight="1">
      <c r="F1001" s="14"/>
    </row>
    <row r="1002" ht="22.5" customHeight="1">
      <c r="F1002" s="14"/>
    </row>
    <row r="1003" ht="22.5" customHeight="1">
      <c r="F1003" s="14"/>
    </row>
    <row r="1004" ht="22.5" customHeight="1">
      <c r="F1004" s="14"/>
    </row>
    <row r="1005" ht="22.5" customHeight="1">
      <c r="F1005" s="14"/>
    </row>
    <row r="1006" ht="22.5" customHeight="1">
      <c r="F1006" s="14"/>
    </row>
    <row r="1007" ht="22.5" customHeight="1">
      <c r="F1007" s="14"/>
    </row>
    <row r="1008" ht="22.5" customHeight="1">
      <c r="F1008" s="14"/>
    </row>
    <row r="1009" ht="22.5" customHeight="1">
      <c r="F1009" s="14"/>
    </row>
    <row r="1010" ht="22.5" customHeight="1">
      <c r="F1010" s="14"/>
    </row>
    <row r="1011" ht="22.5" customHeight="1">
      <c r="F1011" s="14"/>
    </row>
    <row r="1012" ht="22.5" customHeight="1">
      <c r="F1012" s="14"/>
    </row>
    <row r="1013" ht="22.5" customHeight="1">
      <c r="F1013" s="14"/>
    </row>
    <row r="1014" ht="22.5" customHeight="1">
      <c r="F1014" s="14"/>
    </row>
    <row r="1015" ht="22.5" customHeight="1">
      <c r="F1015" s="14"/>
    </row>
    <row r="1016" ht="22.5" customHeight="1">
      <c r="F1016" s="14"/>
    </row>
    <row r="1017" ht="22.5" customHeight="1">
      <c r="F1017" s="14"/>
    </row>
    <row r="1018" ht="22.5" customHeight="1">
      <c r="F1018" s="14"/>
    </row>
    <row r="1019" ht="22.5" customHeight="1">
      <c r="F1019" s="14"/>
    </row>
    <row r="1020" ht="22.5" customHeight="1">
      <c r="F1020" s="14"/>
    </row>
    <row r="1021" ht="22.5" customHeight="1">
      <c r="F1021" s="14"/>
    </row>
    <row r="1022" ht="22.5" customHeight="1">
      <c r="F1022" s="14"/>
    </row>
    <row r="1023" ht="22.5" customHeight="1">
      <c r="F1023" s="14"/>
    </row>
    <row r="1024" ht="22.5" customHeight="1">
      <c r="F1024" s="14"/>
    </row>
    <row r="1025" ht="22.5" customHeight="1">
      <c r="F1025" s="14"/>
    </row>
    <row r="1026" ht="22.5" customHeight="1">
      <c r="F1026" s="14"/>
    </row>
    <row r="1027" ht="22.5" customHeight="1">
      <c r="F1027" s="14"/>
    </row>
    <row r="1028" ht="22.5" customHeight="1">
      <c r="F1028" s="14"/>
    </row>
    <row r="1029" ht="22.5" customHeight="1">
      <c r="F1029" s="14"/>
    </row>
    <row r="1030" ht="22.5" customHeight="1">
      <c r="F1030" s="14"/>
    </row>
    <row r="1031" ht="22.5" customHeight="1">
      <c r="F1031" s="14"/>
    </row>
    <row r="1032" ht="22.5" customHeight="1">
      <c r="F1032" s="14"/>
    </row>
    <row r="1033" ht="22.5" customHeight="1">
      <c r="F1033" s="14"/>
    </row>
    <row r="1034" ht="22.5" customHeight="1">
      <c r="F1034" s="14"/>
    </row>
    <row r="1035" ht="22.5" customHeight="1">
      <c r="F1035" s="14"/>
    </row>
    <row r="1036" ht="22.5" customHeight="1">
      <c r="F1036" s="14"/>
    </row>
    <row r="1037" ht="22.5" customHeight="1">
      <c r="F1037" s="14"/>
    </row>
    <row r="1038" ht="22.5" customHeight="1">
      <c r="F1038" s="14"/>
    </row>
    <row r="1039" ht="22.5" customHeight="1">
      <c r="F1039" s="14"/>
    </row>
    <row r="1040" ht="22.5" customHeight="1">
      <c r="F1040" s="14"/>
    </row>
    <row r="1041" ht="22.5" customHeight="1">
      <c r="F1041" s="14"/>
    </row>
    <row r="1042" ht="22.5" customHeight="1">
      <c r="F1042" s="14"/>
    </row>
    <row r="1043" ht="22.5" customHeight="1">
      <c r="F1043" s="14"/>
    </row>
    <row r="1044" ht="22.5" customHeight="1">
      <c r="F1044" s="14"/>
    </row>
    <row r="1045" ht="22.5" customHeight="1">
      <c r="F1045" s="14"/>
    </row>
    <row r="1046" ht="22.5" customHeight="1">
      <c r="F1046" s="14"/>
    </row>
    <row r="1047" ht="22.5" customHeight="1">
      <c r="F1047" s="14"/>
    </row>
    <row r="1048" ht="22.5" customHeight="1">
      <c r="F1048" s="14"/>
    </row>
    <row r="1049" ht="22.5" customHeight="1">
      <c r="F1049" s="14"/>
    </row>
    <row r="1050" ht="22.5" customHeight="1">
      <c r="F1050" s="14"/>
    </row>
    <row r="1051" ht="22.5" customHeight="1">
      <c r="F1051" s="14"/>
    </row>
    <row r="1052" ht="22.5" customHeight="1">
      <c r="F1052" s="14"/>
    </row>
    <row r="1053" ht="22.5" customHeight="1">
      <c r="F1053" s="14"/>
    </row>
    <row r="1054" ht="22.5" customHeight="1">
      <c r="F1054" s="14"/>
    </row>
    <row r="1055" ht="22.5" customHeight="1">
      <c r="F1055" s="14"/>
    </row>
    <row r="1056" ht="22.5" customHeight="1">
      <c r="F1056" s="14"/>
    </row>
    <row r="1057" ht="22.5" customHeight="1">
      <c r="F1057" s="14"/>
    </row>
    <row r="1058" ht="22.5" customHeight="1">
      <c r="F1058" s="14"/>
    </row>
    <row r="1059" ht="22.5" customHeight="1">
      <c r="F1059" s="14"/>
    </row>
    <row r="1060" ht="22.5" customHeight="1">
      <c r="F1060" s="14"/>
    </row>
    <row r="1061" ht="22.5" customHeight="1">
      <c r="F1061" s="14"/>
    </row>
    <row r="1062" ht="22.5" customHeight="1">
      <c r="F1062" s="14"/>
    </row>
    <row r="1063" ht="22.5" customHeight="1">
      <c r="F1063" s="14"/>
    </row>
    <row r="1064" ht="22.5" customHeight="1">
      <c r="F1064" s="14"/>
    </row>
    <row r="1065" ht="22.5" customHeight="1">
      <c r="F1065" s="14"/>
    </row>
    <row r="1066" ht="22.5" customHeight="1">
      <c r="F1066" s="14"/>
    </row>
    <row r="1067" ht="22.5" customHeight="1">
      <c r="F1067" s="14"/>
    </row>
    <row r="1068" ht="22.5" customHeight="1">
      <c r="F1068" s="14"/>
    </row>
    <row r="1069" ht="22.5" customHeight="1">
      <c r="F1069" s="14"/>
    </row>
    <row r="1070" ht="22.5" customHeight="1">
      <c r="F1070" s="14"/>
    </row>
    <row r="1071" ht="22.5" customHeight="1">
      <c r="F1071" s="14"/>
    </row>
    <row r="1072" ht="22.5" customHeight="1">
      <c r="F1072" s="14"/>
    </row>
    <row r="1073" ht="22.5" customHeight="1">
      <c r="F1073" s="14"/>
    </row>
    <row r="1074" ht="22.5" customHeight="1">
      <c r="F1074" s="14"/>
    </row>
    <row r="1075" ht="22.5" customHeight="1">
      <c r="F1075" s="14"/>
    </row>
    <row r="1076" ht="22.5" customHeight="1">
      <c r="F1076" s="14"/>
    </row>
    <row r="1077" ht="22.5" customHeight="1">
      <c r="F1077" s="14"/>
    </row>
    <row r="1078" ht="22.5" customHeight="1">
      <c r="F1078" s="14"/>
    </row>
    <row r="1079" ht="22.5" customHeight="1">
      <c r="F1079" s="14"/>
    </row>
    <row r="1080" ht="22.5" customHeight="1">
      <c r="F1080" s="14"/>
    </row>
    <row r="1081" ht="22.5" customHeight="1">
      <c r="F1081" s="14"/>
    </row>
    <row r="1082" ht="22.5" customHeight="1">
      <c r="F1082" s="14"/>
    </row>
    <row r="1083" ht="22.5" customHeight="1">
      <c r="F1083" s="14"/>
    </row>
    <row r="1084" ht="22.5" customHeight="1">
      <c r="F1084" s="14"/>
    </row>
    <row r="1085" ht="22.5" customHeight="1">
      <c r="F1085" s="14"/>
    </row>
    <row r="1086" ht="22.5" customHeight="1">
      <c r="F1086" s="14"/>
    </row>
    <row r="1087" ht="22.5" customHeight="1">
      <c r="F1087" s="14"/>
    </row>
    <row r="1088" ht="22.5" customHeight="1">
      <c r="F1088" s="14"/>
    </row>
    <row r="1089" ht="22.5" customHeight="1">
      <c r="F1089" s="14"/>
    </row>
    <row r="1090" ht="22.5" customHeight="1">
      <c r="F1090" s="14"/>
    </row>
    <row r="1091" ht="22.5" customHeight="1">
      <c r="F1091" s="14"/>
    </row>
    <row r="1092" ht="22.5" customHeight="1">
      <c r="F1092" s="14"/>
    </row>
    <row r="1093" ht="22.5" customHeight="1">
      <c r="F1093" s="14"/>
    </row>
    <row r="1094" ht="22.5" customHeight="1">
      <c r="F1094" s="14"/>
    </row>
    <row r="1095" ht="22.5" customHeight="1">
      <c r="F1095" s="14"/>
    </row>
    <row r="1096" ht="22.5" customHeight="1">
      <c r="F1096" s="14"/>
    </row>
    <row r="1097" ht="22.5" customHeight="1">
      <c r="F1097" s="14"/>
    </row>
    <row r="1098" ht="22.5" customHeight="1">
      <c r="F1098" s="14"/>
    </row>
    <row r="1099" ht="22.5" customHeight="1">
      <c r="F1099" s="14"/>
    </row>
    <row r="1100" ht="22.5" customHeight="1">
      <c r="F1100" s="14"/>
    </row>
    <row r="1101" ht="22.5" customHeight="1">
      <c r="F1101" s="14"/>
    </row>
    <row r="1102" ht="22.5" customHeight="1">
      <c r="F1102" s="14"/>
    </row>
    <row r="1103" ht="22.5" customHeight="1">
      <c r="F1103" s="14"/>
    </row>
    <row r="1104" ht="22.5" customHeight="1">
      <c r="F1104" s="14"/>
    </row>
    <row r="1105" ht="22.5" customHeight="1">
      <c r="F1105" s="14"/>
    </row>
    <row r="1106" ht="22.5" customHeight="1">
      <c r="F1106" s="14"/>
    </row>
    <row r="1107" ht="22.5" customHeight="1">
      <c r="F1107" s="14"/>
    </row>
    <row r="1108" ht="22.5" customHeight="1">
      <c r="F1108" s="14"/>
    </row>
    <row r="1109" ht="22.5" customHeight="1">
      <c r="F1109" s="14"/>
    </row>
    <row r="1110" ht="22.5" customHeight="1">
      <c r="F1110" s="14"/>
    </row>
    <row r="1111" ht="22.5" customHeight="1">
      <c r="F1111" s="14"/>
    </row>
    <row r="1112" ht="22.5" customHeight="1">
      <c r="F1112" s="14"/>
    </row>
    <row r="1113" ht="22.5" customHeight="1">
      <c r="F1113" s="14"/>
    </row>
    <row r="1114" ht="22.5" customHeight="1">
      <c r="F1114" s="14"/>
    </row>
    <row r="1115" ht="22.5" customHeight="1">
      <c r="F1115" s="14"/>
    </row>
    <row r="1116" ht="22.5" customHeight="1">
      <c r="F1116" s="14"/>
    </row>
    <row r="1117" ht="22.5" customHeight="1">
      <c r="F1117" s="14"/>
    </row>
    <row r="1118" ht="22.5" customHeight="1">
      <c r="F1118" s="14"/>
    </row>
    <row r="1119" ht="22.5" customHeight="1">
      <c r="F1119" s="14"/>
    </row>
    <row r="1120" ht="22.5" customHeight="1">
      <c r="F1120" s="14"/>
    </row>
    <row r="1121" ht="22.5" customHeight="1">
      <c r="F1121" s="14"/>
    </row>
    <row r="1122" ht="22.5" customHeight="1">
      <c r="F1122" s="14"/>
    </row>
    <row r="1123" ht="22.5" customHeight="1">
      <c r="F1123" s="14"/>
    </row>
    <row r="1124" ht="22.5" customHeight="1">
      <c r="F1124" s="14"/>
    </row>
    <row r="1125" ht="22.5" customHeight="1">
      <c r="F1125" s="14"/>
    </row>
    <row r="1126" ht="22.5" customHeight="1">
      <c r="F1126" s="14"/>
    </row>
    <row r="1127" ht="22.5" customHeight="1">
      <c r="F1127" s="14"/>
    </row>
    <row r="1128" ht="22.5" customHeight="1">
      <c r="F1128" s="14"/>
    </row>
    <row r="1129" ht="22.5" customHeight="1">
      <c r="F1129" s="14"/>
    </row>
    <row r="1130" ht="22.5" customHeight="1">
      <c r="F1130" s="14"/>
    </row>
    <row r="1131" ht="22.5" customHeight="1">
      <c r="F1131" s="14"/>
    </row>
    <row r="1132" ht="22.5" customHeight="1">
      <c r="F1132" s="14"/>
    </row>
    <row r="1133" ht="22.5" customHeight="1">
      <c r="F1133" s="14"/>
    </row>
    <row r="1134" ht="22.5" customHeight="1">
      <c r="F1134" s="14"/>
    </row>
    <row r="1135" ht="22.5" customHeight="1">
      <c r="F1135" s="14"/>
    </row>
    <row r="1136" ht="22.5" customHeight="1">
      <c r="F1136" s="14"/>
    </row>
    <row r="1137" ht="22.5" customHeight="1">
      <c r="F1137" s="14"/>
    </row>
    <row r="1138" ht="22.5" customHeight="1">
      <c r="F1138" s="14"/>
    </row>
    <row r="1139" ht="22.5" customHeight="1">
      <c r="F1139" s="14"/>
    </row>
    <row r="1140" ht="22.5" customHeight="1">
      <c r="F1140" s="14"/>
    </row>
    <row r="1141" ht="22.5" customHeight="1">
      <c r="F1141" s="14"/>
    </row>
    <row r="1142" ht="22.5" customHeight="1">
      <c r="F1142" s="14"/>
    </row>
    <row r="1143" ht="22.5" customHeight="1">
      <c r="F1143" s="14"/>
    </row>
    <row r="1144" ht="22.5" customHeight="1">
      <c r="F1144" s="14"/>
    </row>
    <row r="1145" ht="22.5" customHeight="1">
      <c r="F1145" s="14"/>
    </row>
    <row r="1146" ht="22.5" customHeight="1">
      <c r="F1146" s="14"/>
    </row>
    <row r="1147" ht="22.5" customHeight="1">
      <c r="F1147" s="14"/>
    </row>
    <row r="1148" ht="22.5" customHeight="1">
      <c r="F1148" s="14"/>
    </row>
    <row r="1149" ht="22.5" customHeight="1">
      <c r="F1149" s="14"/>
    </row>
    <row r="1150" ht="22.5" customHeight="1">
      <c r="F1150" s="14"/>
    </row>
    <row r="1151" ht="22.5" customHeight="1">
      <c r="F1151" s="14"/>
    </row>
    <row r="1152" ht="22.5" customHeight="1">
      <c r="F1152" s="14"/>
    </row>
    <row r="1153" ht="22.5" customHeight="1">
      <c r="F1153" s="14"/>
    </row>
    <row r="1154" ht="22.5" customHeight="1">
      <c r="F1154" s="14"/>
    </row>
    <row r="1155" ht="22.5" customHeight="1">
      <c r="F1155" s="14"/>
    </row>
    <row r="1156" ht="22.5" customHeight="1">
      <c r="F1156" s="14"/>
    </row>
    <row r="1157" ht="22.5" customHeight="1">
      <c r="F1157" s="14"/>
    </row>
    <row r="1158" ht="22.5" customHeight="1">
      <c r="F1158" s="14"/>
    </row>
    <row r="1159" ht="22.5" customHeight="1">
      <c r="F1159" s="14"/>
    </row>
    <row r="1160" ht="22.5" customHeight="1">
      <c r="F1160" s="14"/>
    </row>
    <row r="1161" ht="22.5" customHeight="1">
      <c r="F1161" s="14"/>
    </row>
    <row r="1162" ht="22.5" customHeight="1">
      <c r="F1162" s="14"/>
    </row>
    <row r="1163" ht="22.5" customHeight="1">
      <c r="F1163" s="14"/>
    </row>
    <row r="1164" ht="22.5" customHeight="1">
      <c r="F1164" s="14"/>
    </row>
    <row r="1165" ht="22.5" customHeight="1">
      <c r="F1165" s="14"/>
    </row>
    <row r="1166" ht="22.5" customHeight="1">
      <c r="F1166" s="14"/>
    </row>
    <row r="1167" ht="22.5" customHeight="1">
      <c r="F1167" s="14"/>
    </row>
    <row r="1168" ht="22.5" customHeight="1">
      <c r="F1168" s="14"/>
    </row>
    <row r="1169" ht="22.5" customHeight="1">
      <c r="F1169" s="14"/>
    </row>
    <row r="1170" ht="22.5" customHeight="1">
      <c r="F1170" s="14"/>
    </row>
    <row r="1171" ht="22.5" customHeight="1">
      <c r="F1171" s="14"/>
    </row>
    <row r="1172" ht="22.5" customHeight="1">
      <c r="F1172" s="14"/>
    </row>
    <row r="1173" ht="22.5" customHeight="1">
      <c r="F1173" s="14"/>
    </row>
    <row r="1174" ht="22.5" customHeight="1">
      <c r="F1174" s="14"/>
    </row>
    <row r="1175" ht="22.5" customHeight="1">
      <c r="F1175" s="14"/>
    </row>
    <row r="1176" ht="22.5" customHeight="1">
      <c r="F1176" s="14"/>
    </row>
    <row r="1177" ht="22.5" customHeight="1">
      <c r="F1177" s="14"/>
    </row>
    <row r="1178" ht="22.5" customHeight="1">
      <c r="F1178" s="14"/>
    </row>
    <row r="1179" ht="22.5" customHeight="1">
      <c r="F1179" s="14"/>
    </row>
    <row r="1180" ht="22.5" customHeight="1">
      <c r="F1180" s="14"/>
    </row>
    <row r="1181" ht="22.5" customHeight="1">
      <c r="F1181" s="14"/>
    </row>
    <row r="1182" ht="22.5" customHeight="1">
      <c r="F1182" s="14"/>
    </row>
    <row r="1183" ht="22.5" customHeight="1">
      <c r="F1183" s="14"/>
    </row>
    <row r="1184" ht="22.5" customHeight="1">
      <c r="F1184" s="14"/>
    </row>
    <row r="1185" ht="22.5" customHeight="1">
      <c r="F1185" s="14"/>
    </row>
    <row r="1186" ht="22.5" customHeight="1">
      <c r="F1186" s="14"/>
    </row>
    <row r="1187" ht="22.5" customHeight="1">
      <c r="F1187" s="14"/>
    </row>
    <row r="1188" ht="22.5" customHeight="1">
      <c r="F1188" s="14"/>
    </row>
    <row r="1189" ht="22.5" customHeight="1">
      <c r="F1189" s="14"/>
    </row>
    <row r="1190" ht="22.5" customHeight="1">
      <c r="F1190" s="14"/>
    </row>
    <row r="1191" ht="22.5" customHeight="1">
      <c r="F1191" s="14"/>
    </row>
    <row r="1192" ht="22.5" customHeight="1">
      <c r="F1192" s="14"/>
    </row>
    <row r="1193" ht="22.5" customHeight="1">
      <c r="F1193" s="14"/>
    </row>
    <row r="1194" ht="22.5" customHeight="1">
      <c r="F1194" s="14"/>
    </row>
    <row r="1195" ht="22.5" customHeight="1">
      <c r="F1195" s="14"/>
    </row>
    <row r="1196" ht="22.5" customHeight="1">
      <c r="F1196" s="14"/>
    </row>
    <row r="1197" ht="22.5" customHeight="1">
      <c r="F1197" s="14"/>
    </row>
    <row r="1198" ht="22.5" customHeight="1">
      <c r="F1198" s="14"/>
    </row>
    <row r="1199" ht="22.5" customHeight="1">
      <c r="F1199" s="14"/>
    </row>
    <row r="1200" ht="22.5" customHeight="1">
      <c r="F1200" s="14"/>
    </row>
    <row r="1201" ht="22.5" customHeight="1">
      <c r="F1201" s="14"/>
    </row>
    <row r="1202" ht="22.5" customHeight="1">
      <c r="F1202" s="14"/>
    </row>
    <row r="1203" ht="22.5" customHeight="1">
      <c r="F1203" s="14"/>
    </row>
    <row r="1204" ht="22.5" customHeight="1">
      <c r="F1204" s="14"/>
    </row>
    <row r="1205" ht="22.5" customHeight="1">
      <c r="F1205" s="14"/>
    </row>
    <row r="1206" ht="22.5" customHeight="1">
      <c r="F1206" s="14"/>
    </row>
    <row r="1207" ht="22.5" customHeight="1">
      <c r="F1207" s="14"/>
    </row>
    <row r="1208" ht="22.5" customHeight="1">
      <c r="F1208" s="14"/>
    </row>
    <row r="1209" ht="22.5" customHeight="1">
      <c r="F1209" s="14"/>
    </row>
    <row r="1210" ht="22.5" customHeight="1">
      <c r="F1210" s="14"/>
    </row>
    <row r="1211" ht="22.5" customHeight="1">
      <c r="F1211" s="14"/>
    </row>
    <row r="1212" ht="22.5" customHeight="1">
      <c r="F1212" s="14"/>
    </row>
    <row r="1213" ht="22.5" customHeight="1">
      <c r="F1213" s="14"/>
    </row>
    <row r="1214" ht="22.5" customHeight="1">
      <c r="F1214" s="14"/>
    </row>
    <row r="1215" ht="22.5" customHeight="1">
      <c r="F1215" s="14"/>
    </row>
    <row r="1216" ht="22.5" customHeight="1">
      <c r="F1216" s="14"/>
    </row>
    <row r="1217" ht="22.5" customHeight="1">
      <c r="F1217" s="14"/>
    </row>
    <row r="1218" ht="22.5" customHeight="1">
      <c r="F1218" s="14"/>
    </row>
    <row r="1219" ht="22.5" customHeight="1">
      <c r="F1219" s="14"/>
    </row>
    <row r="1220" ht="22.5" customHeight="1">
      <c r="F1220" s="14"/>
    </row>
    <row r="1221" ht="22.5" customHeight="1">
      <c r="F1221" s="14"/>
    </row>
    <row r="1222" ht="22.5" customHeight="1">
      <c r="F1222" s="14"/>
    </row>
    <row r="1223" ht="22.5" customHeight="1">
      <c r="F1223" s="14"/>
    </row>
    <row r="1224" ht="22.5" customHeight="1">
      <c r="F1224" s="14"/>
    </row>
    <row r="1225" ht="22.5" customHeight="1">
      <c r="F1225" s="14"/>
    </row>
    <row r="1226" ht="22.5" customHeight="1">
      <c r="F1226" s="14"/>
    </row>
    <row r="1227" ht="22.5" customHeight="1">
      <c r="F1227" s="14"/>
    </row>
    <row r="1228" ht="22.5" customHeight="1">
      <c r="F1228" s="14"/>
    </row>
    <row r="1229" ht="22.5" customHeight="1">
      <c r="F1229" s="14"/>
    </row>
    <row r="1230" ht="22.5" customHeight="1">
      <c r="F1230" s="14"/>
    </row>
    <row r="1231" ht="22.5" customHeight="1">
      <c r="F1231" s="14"/>
    </row>
    <row r="1232" ht="22.5" customHeight="1">
      <c r="F1232" s="14"/>
    </row>
    <row r="1233" ht="22.5" customHeight="1">
      <c r="F1233" s="14"/>
    </row>
    <row r="1234" ht="22.5" customHeight="1">
      <c r="F1234" s="14"/>
    </row>
    <row r="1235" ht="22.5" customHeight="1">
      <c r="F1235" s="14"/>
    </row>
    <row r="1236" ht="22.5" customHeight="1">
      <c r="F1236" s="14"/>
    </row>
    <row r="1237" ht="22.5" customHeight="1">
      <c r="F1237" s="14"/>
    </row>
    <row r="1238" ht="22.5" customHeight="1">
      <c r="F1238" s="14"/>
    </row>
    <row r="1239" ht="22.5" customHeight="1">
      <c r="F1239" s="14"/>
    </row>
    <row r="1240" ht="22.5" customHeight="1">
      <c r="F1240" s="14"/>
    </row>
    <row r="1241" ht="22.5" customHeight="1">
      <c r="F1241" s="14"/>
    </row>
    <row r="1242" ht="22.5" customHeight="1">
      <c r="F1242" s="14"/>
    </row>
    <row r="1243" ht="22.5" customHeight="1">
      <c r="F1243" s="14"/>
    </row>
    <row r="1244" ht="22.5" customHeight="1">
      <c r="F1244" s="14"/>
    </row>
    <row r="1245" ht="22.5" customHeight="1">
      <c r="F1245" s="14"/>
    </row>
    <row r="1246" ht="22.5" customHeight="1">
      <c r="F1246" s="14"/>
    </row>
    <row r="1247" ht="22.5" customHeight="1">
      <c r="F1247" s="14"/>
    </row>
    <row r="1248" ht="22.5" customHeight="1">
      <c r="F1248" s="14"/>
    </row>
    <row r="1249" ht="22.5" customHeight="1">
      <c r="F1249" s="14"/>
    </row>
    <row r="1250" ht="22.5" customHeight="1">
      <c r="F1250" s="14"/>
    </row>
    <row r="1251" ht="22.5" customHeight="1">
      <c r="F1251" s="14"/>
    </row>
    <row r="1252" ht="22.5" customHeight="1">
      <c r="F1252" s="14"/>
    </row>
    <row r="1253" ht="22.5" customHeight="1">
      <c r="F1253" s="14"/>
    </row>
    <row r="1254" ht="22.5" customHeight="1">
      <c r="F1254" s="14"/>
    </row>
    <row r="1255" ht="22.5" customHeight="1">
      <c r="F1255" s="14"/>
    </row>
    <row r="1256" ht="22.5" customHeight="1">
      <c r="F1256" s="14"/>
    </row>
    <row r="1257" ht="22.5" customHeight="1">
      <c r="F1257" s="14"/>
    </row>
    <row r="1258" ht="22.5" customHeight="1">
      <c r="F1258" s="14"/>
    </row>
    <row r="1259" ht="22.5" customHeight="1">
      <c r="F1259" s="14"/>
    </row>
    <row r="1260" ht="22.5" customHeight="1">
      <c r="F1260" s="14"/>
    </row>
    <row r="1261" ht="22.5" customHeight="1">
      <c r="F1261" s="14"/>
    </row>
    <row r="1262" ht="22.5" customHeight="1">
      <c r="F1262" s="14"/>
    </row>
    <row r="1263" ht="22.5" customHeight="1">
      <c r="F1263" s="14"/>
    </row>
    <row r="1264" ht="22.5" customHeight="1">
      <c r="F1264" s="14"/>
    </row>
    <row r="1265" ht="22.5" customHeight="1">
      <c r="F1265" s="14"/>
    </row>
    <row r="1266" ht="22.5" customHeight="1">
      <c r="F1266" s="14"/>
    </row>
    <row r="1267" ht="22.5" customHeight="1">
      <c r="F1267" s="14"/>
    </row>
    <row r="1268" ht="22.5" customHeight="1">
      <c r="F1268" s="14"/>
    </row>
    <row r="1269" ht="22.5" customHeight="1">
      <c r="F1269" s="14"/>
    </row>
    <row r="1270" ht="22.5" customHeight="1">
      <c r="F1270" s="14"/>
    </row>
    <row r="1271" ht="22.5" customHeight="1">
      <c r="F1271" s="14"/>
    </row>
    <row r="1272" ht="22.5" customHeight="1">
      <c r="F1272" s="14"/>
    </row>
    <row r="1273" ht="22.5" customHeight="1">
      <c r="F1273" s="14"/>
    </row>
    <row r="1274" ht="22.5" customHeight="1">
      <c r="F1274" s="14"/>
    </row>
    <row r="1275" ht="22.5" customHeight="1">
      <c r="F1275" s="14"/>
    </row>
    <row r="1276" ht="22.5" customHeight="1">
      <c r="F1276" s="14"/>
    </row>
    <row r="1277" ht="22.5" customHeight="1">
      <c r="F1277" s="14"/>
    </row>
    <row r="1278" ht="22.5" customHeight="1">
      <c r="F1278" s="14"/>
    </row>
    <row r="1279" ht="22.5" customHeight="1">
      <c r="F1279" s="14"/>
    </row>
    <row r="1280" ht="22.5" customHeight="1">
      <c r="F1280" s="14"/>
    </row>
    <row r="1281" ht="22.5" customHeight="1">
      <c r="F1281" s="14"/>
    </row>
    <row r="1282" ht="22.5" customHeight="1">
      <c r="F1282" s="14"/>
    </row>
    <row r="1283" ht="22.5" customHeight="1">
      <c r="F1283" s="14"/>
    </row>
    <row r="1284" ht="22.5" customHeight="1">
      <c r="F1284" s="14"/>
    </row>
    <row r="1285" ht="22.5" customHeight="1">
      <c r="F1285" s="14"/>
    </row>
    <row r="1286" ht="22.5" customHeight="1">
      <c r="F1286" s="14"/>
    </row>
    <row r="1287" ht="22.5" customHeight="1">
      <c r="F1287" s="14"/>
    </row>
    <row r="1288" ht="22.5" customHeight="1">
      <c r="F1288" s="14"/>
    </row>
    <row r="1289" ht="22.5" customHeight="1">
      <c r="F1289" s="14"/>
    </row>
    <row r="1290" ht="22.5" customHeight="1">
      <c r="F1290" s="14"/>
    </row>
    <row r="1291" ht="22.5" customHeight="1">
      <c r="F1291" s="14"/>
    </row>
    <row r="1292" ht="22.5" customHeight="1">
      <c r="F1292" s="14"/>
    </row>
    <row r="1293" ht="22.5" customHeight="1">
      <c r="F1293" s="14"/>
    </row>
    <row r="1294" ht="22.5" customHeight="1">
      <c r="F1294" s="14"/>
    </row>
    <row r="1295" ht="22.5" customHeight="1">
      <c r="F1295" s="14"/>
    </row>
    <row r="1296" ht="22.5" customHeight="1">
      <c r="F1296" s="14"/>
    </row>
    <row r="1297" ht="22.5" customHeight="1">
      <c r="F1297" s="14"/>
    </row>
    <row r="1298" ht="22.5" customHeight="1">
      <c r="F1298" s="14"/>
    </row>
    <row r="1299" ht="22.5" customHeight="1">
      <c r="F1299" s="14"/>
    </row>
    <row r="1300" ht="22.5" customHeight="1">
      <c r="F1300" s="14"/>
    </row>
    <row r="1301" ht="22.5" customHeight="1">
      <c r="F1301" s="14"/>
    </row>
    <row r="1302" ht="22.5" customHeight="1">
      <c r="F1302" s="14"/>
    </row>
    <row r="1303" ht="22.5" customHeight="1">
      <c r="F1303" s="14"/>
    </row>
    <row r="1304" ht="22.5" customHeight="1">
      <c r="F1304" s="14"/>
    </row>
    <row r="1305" ht="22.5" customHeight="1">
      <c r="F1305" s="14"/>
    </row>
    <row r="1306" ht="22.5" customHeight="1">
      <c r="F1306" s="14"/>
    </row>
    <row r="1307" ht="22.5" customHeight="1">
      <c r="F1307" s="14"/>
    </row>
    <row r="1308" ht="22.5" customHeight="1">
      <c r="F1308" s="14"/>
    </row>
    <row r="1309" ht="22.5" customHeight="1">
      <c r="F1309" s="14"/>
    </row>
    <row r="1310" ht="22.5" customHeight="1">
      <c r="F1310" s="14"/>
    </row>
    <row r="1311" ht="22.5" customHeight="1">
      <c r="F1311" s="14"/>
    </row>
    <row r="1312" ht="22.5" customHeight="1">
      <c r="F1312" s="14"/>
    </row>
    <row r="1313" ht="22.5" customHeight="1">
      <c r="F1313" s="14"/>
    </row>
    <row r="1314" ht="22.5" customHeight="1">
      <c r="F1314" s="14"/>
    </row>
    <row r="1315" ht="22.5" customHeight="1">
      <c r="F1315" s="14"/>
    </row>
    <row r="1316" ht="22.5" customHeight="1">
      <c r="F1316" s="14"/>
    </row>
    <row r="1317" ht="22.5" customHeight="1">
      <c r="F1317" s="14"/>
    </row>
    <row r="1318" ht="22.5" customHeight="1">
      <c r="F1318" s="14"/>
    </row>
    <row r="1319" ht="22.5" customHeight="1">
      <c r="F1319" s="14"/>
    </row>
    <row r="1320" ht="22.5" customHeight="1">
      <c r="F1320" s="14"/>
    </row>
    <row r="1321" ht="22.5" customHeight="1">
      <c r="F1321" s="14"/>
    </row>
    <row r="1322" ht="22.5" customHeight="1">
      <c r="F1322" s="14"/>
    </row>
    <row r="1323" ht="22.5" customHeight="1">
      <c r="F1323" s="14"/>
    </row>
    <row r="1324" ht="22.5" customHeight="1">
      <c r="F1324" s="14"/>
    </row>
    <row r="1325" ht="22.5" customHeight="1">
      <c r="F1325" s="14"/>
    </row>
    <row r="1326" ht="22.5" customHeight="1">
      <c r="F1326" s="14"/>
    </row>
    <row r="1327" ht="22.5" customHeight="1">
      <c r="F1327" s="14"/>
    </row>
    <row r="1328" ht="22.5" customHeight="1">
      <c r="F1328" s="14"/>
    </row>
    <row r="1329" ht="22.5" customHeight="1">
      <c r="F1329" s="14"/>
    </row>
    <row r="1330" ht="22.5" customHeight="1">
      <c r="F1330" s="14"/>
    </row>
    <row r="1331" ht="22.5" customHeight="1">
      <c r="F1331" s="14"/>
    </row>
    <row r="1332" ht="22.5" customHeight="1">
      <c r="F1332" s="14"/>
    </row>
    <row r="1333" ht="22.5" customHeight="1">
      <c r="F1333" s="14"/>
    </row>
    <row r="1334" ht="22.5" customHeight="1">
      <c r="F1334" s="14"/>
    </row>
    <row r="1335" ht="22.5" customHeight="1">
      <c r="F1335" s="14"/>
    </row>
    <row r="1336" ht="22.5" customHeight="1">
      <c r="F1336" s="14"/>
    </row>
    <row r="1337" ht="22.5" customHeight="1">
      <c r="F1337" s="14"/>
    </row>
    <row r="1338" ht="22.5" customHeight="1">
      <c r="F1338" s="14"/>
    </row>
    <row r="1339" ht="22.5" customHeight="1">
      <c r="F1339" s="14"/>
    </row>
    <row r="1340" ht="22.5" customHeight="1">
      <c r="F1340" s="14"/>
    </row>
    <row r="1341" ht="22.5" customHeight="1">
      <c r="F1341" s="14"/>
    </row>
    <row r="1342" ht="22.5" customHeight="1">
      <c r="F1342" s="14"/>
    </row>
    <row r="1343" ht="22.5" customHeight="1">
      <c r="F1343" s="14"/>
    </row>
    <row r="1344" ht="22.5" customHeight="1">
      <c r="F1344" s="14"/>
    </row>
    <row r="1345" ht="22.5" customHeight="1">
      <c r="F1345" s="14"/>
    </row>
    <row r="1346" ht="22.5" customHeight="1">
      <c r="F1346" s="14"/>
    </row>
    <row r="1347" ht="22.5" customHeight="1">
      <c r="F1347" s="14"/>
    </row>
    <row r="1348" ht="22.5" customHeight="1">
      <c r="F1348" s="14"/>
    </row>
    <row r="1349" ht="22.5" customHeight="1">
      <c r="F1349" s="14"/>
    </row>
    <row r="1350" ht="22.5" customHeight="1">
      <c r="F1350" s="14"/>
    </row>
    <row r="1351" ht="22.5" customHeight="1">
      <c r="F1351" s="14"/>
    </row>
    <row r="1352" ht="22.5" customHeight="1">
      <c r="F1352" s="14"/>
    </row>
    <row r="1353" ht="22.5" customHeight="1">
      <c r="F1353" s="14"/>
    </row>
    <row r="1354" ht="22.5" customHeight="1">
      <c r="F1354" s="14"/>
    </row>
    <row r="1355" ht="22.5" customHeight="1">
      <c r="F1355" s="14"/>
    </row>
    <row r="1356" ht="22.5" customHeight="1">
      <c r="F1356" s="14"/>
    </row>
    <row r="1357" ht="22.5" customHeight="1">
      <c r="F1357" s="14"/>
    </row>
    <row r="1358" ht="22.5" customHeight="1">
      <c r="F1358" s="14"/>
    </row>
    <row r="1359" ht="22.5" customHeight="1">
      <c r="F1359" s="14"/>
    </row>
    <row r="1360" ht="22.5" customHeight="1">
      <c r="F1360" s="14"/>
    </row>
    <row r="1361" ht="22.5" customHeight="1">
      <c r="F1361" s="14"/>
    </row>
    <row r="1362" ht="22.5" customHeight="1">
      <c r="F1362" s="14"/>
    </row>
    <row r="1363" ht="22.5" customHeight="1">
      <c r="F1363" s="14"/>
    </row>
    <row r="1364" ht="22.5" customHeight="1">
      <c r="F1364" s="14"/>
    </row>
    <row r="1365" ht="22.5" customHeight="1">
      <c r="F1365" s="14"/>
    </row>
    <row r="1366" ht="22.5" customHeight="1">
      <c r="F1366" s="14"/>
    </row>
    <row r="1367" ht="22.5" customHeight="1">
      <c r="F1367" s="14"/>
    </row>
    <row r="1368" ht="22.5" customHeight="1">
      <c r="F1368" s="14"/>
    </row>
    <row r="1369" ht="22.5" customHeight="1">
      <c r="F1369" s="14"/>
    </row>
    <row r="1370" ht="22.5" customHeight="1">
      <c r="F1370" s="14"/>
    </row>
    <row r="1371" ht="22.5" customHeight="1">
      <c r="F1371" s="14"/>
    </row>
    <row r="1372" ht="22.5" customHeight="1">
      <c r="F1372" s="14"/>
    </row>
    <row r="1373" ht="22.5" customHeight="1">
      <c r="F1373" s="14"/>
    </row>
    <row r="1374" ht="22.5" customHeight="1">
      <c r="F1374" s="14"/>
    </row>
    <row r="1375" ht="22.5" customHeight="1">
      <c r="F1375" s="14"/>
    </row>
    <row r="1376" ht="22.5" customHeight="1">
      <c r="F1376" s="14"/>
    </row>
    <row r="1377" ht="22.5" customHeight="1">
      <c r="F1377" s="14"/>
    </row>
    <row r="1378" ht="22.5" customHeight="1">
      <c r="F1378" s="14"/>
    </row>
    <row r="1379" ht="22.5" customHeight="1">
      <c r="F1379" s="14"/>
    </row>
    <row r="1380" ht="22.5" customHeight="1">
      <c r="F1380" s="14"/>
    </row>
    <row r="1381" ht="22.5" customHeight="1">
      <c r="F1381" s="14"/>
    </row>
    <row r="1382" ht="22.5" customHeight="1">
      <c r="F1382" s="14"/>
    </row>
    <row r="1383" ht="22.5" customHeight="1">
      <c r="F1383" s="14"/>
    </row>
    <row r="1384" ht="22.5" customHeight="1">
      <c r="F1384" s="14"/>
    </row>
    <row r="1385" ht="22.5" customHeight="1">
      <c r="F1385" s="14"/>
    </row>
    <row r="1386" ht="22.5" customHeight="1">
      <c r="F1386" s="14"/>
    </row>
    <row r="1387" ht="22.5" customHeight="1">
      <c r="F1387" s="14"/>
    </row>
    <row r="1388" ht="22.5" customHeight="1">
      <c r="F1388" s="14"/>
    </row>
    <row r="1389" ht="22.5" customHeight="1">
      <c r="F1389" s="14"/>
    </row>
    <row r="1390" ht="22.5" customHeight="1">
      <c r="F1390" s="14"/>
    </row>
    <row r="1391" ht="22.5" customHeight="1">
      <c r="F1391" s="14"/>
    </row>
    <row r="1392" ht="22.5" customHeight="1">
      <c r="F1392" s="14"/>
    </row>
    <row r="1393" ht="22.5" customHeight="1">
      <c r="F1393" s="14"/>
    </row>
    <row r="1394" ht="22.5" customHeight="1">
      <c r="F1394" s="14"/>
    </row>
    <row r="1395" ht="22.5" customHeight="1">
      <c r="F1395" s="14"/>
    </row>
    <row r="1396" ht="22.5" customHeight="1">
      <c r="F1396" s="14"/>
    </row>
    <row r="1397" ht="22.5" customHeight="1">
      <c r="F1397" s="14"/>
    </row>
    <row r="1398" ht="22.5" customHeight="1">
      <c r="F1398" s="14"/>
    </row>
    <row r="1399" ht="22.5" customHeight="1">
      <c r="F1399" s="14"/>
    </row>
    <row r="1400" ht="22.5" customHeight="1">
      <c r="F1400" s="14"/>
    </row>
    <row r="1401" ht="22.5" customHeight="1">
      <c r="F1401" s="14"/>
    </row>
    <row r="1402" ht="22.5" customHeight="1">
      <c r="F1402" s="14"/>
    </row>
    <row r="1403" ht="22.5" customHeight="1">
      <c r="F1403" s="14"/>
    </row>
    <row r="1404" ht="22.5" customHeight="1">
      <c r="F1404" s="14"/>
    </row>
    <row r="1405" ht="22.5" customHeight="1">
      <c r="F1405" s="14"/>
    </row>
    <row r="1406" ht="22.5" customHeight="1">
      <c r="F1406" s="14"/>
    </row>
    <row r="1407" ht="22.5" customHeight="1">
      <c r="F1407" s="14"/>
    </row>
    <row r="1408" ht="22.5" customHeight="1">
      <c r="F1408" s="14"/>
    </row>
    <row r="1409" ht="22.5" customHeight="1">
      <c r="F1409" s="14"/>
    </row>
    <row r="1410" ht="22.5" customHeight="1">
      <c r="F1410" s="14"/>
    </row>
    <row r="1411" ht="22.5" customHeight="1">
      <c r="F1411" s="14"/>
    </row>
    <row r="1412" ht="22.5" customHeight="1">
      <c r="F1412" s="14"/>
    </row>
    <row r="1413" ht="22.5" customHeight="1">
      <c r="F1413" s="14"/>
    </row>
    <row r="1414" ht="22.5" customHeight="1">
      <c r="F1414" s="14"/>
    </row>
    <row r="1415" ht="22.5" customHeight="1">
      <c r="F1415" s="14"/>
    </row>
    <row r="1416" ht="22.5" customHeight="1">
      <c r="F1416" s="14"/>
    </row>
    <row r="1417" ht="22.5" customHeight="1">
      <c r="F1417" s="14"/>
    </row>
    <row r="1418" ht="22.5" customHeight="1">
      <c r="F1418" s="14"/>
    </row>
    <row r="1419" ht="22.5" customHeight="1">
      <c r="F1419" s="14"/>
    </row>
    <row r="1420" ht="22.5" customHeight="1">
      <c r="F1420" s="14"/>
    </row>
    <row r="1421" ht="22.5" customHeight="1">
      <c r="F1421" s="14"/>
    </row>
    <row r="1422" ht="22.5" customHeight="1">
      <c r="F1422" s="14"/>
    </row>
    <row r="1423" ht="22.5" customHeight="1">
      <c r="F1423" s="14"/>
    </row>
    <row r="1424" ht="22.5" customHeight="1">
      <c r="F1424" s="14"/>
    </row>
    <row r="1425" ht="22.5" customHeight="1">
      <c r="F1425" s="14"/>
    </row>
    <row r="1426" ht="22.5" customHeight="1">
      <c r="F1426" s="14"/>
    </row>
    <row r="1427" ht="22.5" customHeight="1">
      <c r="F1427" s="14"/>
    </row>
    <row r="1428" ht="22.5" customHeight="1">
      <c r="F1428" s="14"/>
    </row>
    <row r="1429" ht="22.5" customHeight="1">
      <c r="F1429" s="14"/>
    </row>
    <row r="1430" ht="22.5" customHeight="1">
      <c r="F1430" s="14"/>
    </row>
    <row r="1431" ht="22.5" customHeight="1">
      <c r="F1431" s="14"/>
    </row>
    <row r="1432" ht="22.5" customHeight="1">
      <c r="F1432" s="14"/>
    </row>
    <row r="1433" ht="22.5" customHeight="1">
      <c r="F1433" s="14"/>
    </row>
    <row r="1434" ht="22.5" customHeight="1">
      <c r="F1434" s="14"/>
    </row>
    <row r="1435" ht="22.5" customHeight="1">
      <c r="F1435" s="14"/>
    </row>
    <row r="1436" ht="22.5" customHeight="1">
      <c r="F1436" s="14"/>
    </row>
    <row r="1437" ht="22.5" customHeight="1">
      <c r="F1437" s="14"/>
    </row>
    <row r="1438" ht="22.5" customHeight="1">
      <c r="F1438" s="14"/>
    </row>
    <row r="1439" ht="22.5" customHeight="1">
      <c r="F1439" s="14"/>
    </row>
    <row r="1440" ht="22.5" customHeight="1">
      <c r="F1440" s="14"/>
    </row>
    <row r="1441" ht="22.5" customHeight="1">
      <c r="F1441" s="14"/>
    </row>
    <row r="1442" ht="22.5" customHeight="1">
      <c r="F1442" s="14"/>
    </row>
    <row r="1443" ht="22.5" customHeight="1">
      <c r="F1443" s="14"/>
    </row>
    <row r="1444" ht="22.5" customHeight="1">
      <c r="F1444" s="14"/>
    </row>
    <row r="1445" ht="22.5" customHeight="1">
      <c r="F1445" s="14"/>
    </row>
    <row r="1446" ht="22.5" customHeight="1">
      <c r="F1446" s="14"/>
    </row>
    <row r="1447" ht="22.5" customHeight="1">
      <c r="F1447" s="14"/>
    </row>
    <row r="1448" ht="22.5" customHeight="1">
      <c r="F1448" s="14"/>
    </row>
    <row r="1449" ht="22.5" customHeight="1">
      <c r="F1449" s="14"/>
    </row>
    <row r="1450" ht="22.5" customHeight="1">
      <c r="F1450" s="14"/>
    </row>
    <row r="1451" ht="22.5" customHeight="1">
      <c r="F1451" s="14"/>
    </row>
    <row r="1452" ht="22.5" customHeight="1">
      <c r="F1452" s="14"/>
    </row>
    <row r="1453" ht="22.5" customHeight="1">
      <c r="F1453" s="14"/>
    </row>
    <row r="1454" ht="22.5" customHeight="1">
      <c r="F1454" s="14"/>
    </row>
    <row r="1455" ht="22.5" customHeight="1">
      <c r="F1455" s="14"/>
    </row>
    <row r="1456" ht="22.5" customHeight="1">
      <c r="F1456" s="14"/>
    </row>
    <row r="1457" ht="22.5" customHeight="1">
      <c r="F1457" s="14"/>
    </row>
    <row r="1458" ht="22.5" customHeight="1">
      <c r="F1458" s="14"/>
    </row>
    <row r="1459" ht="22.5" customHeight="1">
      <c r="F1459" s="14"/>
    </row>
    <row r="1460" ht="22.5" customHeight="1">
      <c r="F1460" s="14"/>
    </row>
    <row r="1461" ht="22.5" customHeight="1">
      <c r="F1461" s="14"/>
    </row>
    <row r="1462" ht="22.5" customHeight="1">
      <c r="F1462" s="14"/>
    </row>
    <row r="1463" ht="22.5" customHeight="1">
      <c r="F1463" s="14"/>
    </row>
    <row r="1464" ht="22.5" customHeight="1">
      <c r="F1464" s="14"/>
    </row>
    <row r="1465" ht="22.5" customHeight="1">
      <c r="F1465" s="14"/>
    </row>
    <row r="1466" ht="22.5" customHeight="1">
      <c r="F1466" s="14"/>
    </row>
    <row r="1467" ht="22.5" customHeight="1">
      <c r="F1467" s="14"/>
    </row>
    <row r="1468" ht="22.5" customHeight="1">
      <c r="F1468" s="14"/>
    </row>
    <row r="1469" ht="22.5" customHeight="1">
      <c r="F1469" s="14"/>
    </row>
    <row r="1470" ht="22.5" customHeight="1">
      <c r="F1470" s="14"/>
    </row>
    <row r="1471" ht="22.5" customHeight="1">
      <c r="F1471" s="14"/>
    </row>
    <row r="1472" ht="22.5" customHeight="1">
      <c r="F1472" s="14"/>
    </row>
    <row r="1473" ht="22.5" customHeight="1">
      <c r="F1473" s="14"/>
    </row>
    <row r="1474" ht="22.5" customHeight="1">
      <c r="F1474" s="14"/>
    </row>
    <row r="1475" ht="22.5" customHeight="1">
      <c r="F1475" s="14"/>
    </row>
    <row r="1476" ht="22.5" customHeight="1">
      <c r="F1476" s="14"/>
    </row>
    <row r="1477" ht="22.5" customHeight="1">
      <c r="F1477" s="14"/>
    </row>
    <row r="1478" ht="22.5" customHeight="1">
      <c r="F1478" s="14"/>
    </row>
    <row r="1479" ht="22.5" customHeight="1">
      <c r="F1479" s="14"/>
    </row>
    <row r="1480" ht="22.5" customHeight="1">
      <c r="F1480" s="14"/>
    </row>
    <row r="1481" ht="22.5" customHeight="1">
      <c r="F1481" s="14"/>
    </row>
    <row r="1482" ht="22.5" customHeight="1">
      <c r="F1482" s="14"/>
    </row>
    <row r="1483" ht="22.5" customHeight="1">
      <c r="F1483" s="14"/>
    </row>
    <row r="1484" ht="22.5" customHeight="1">
      <c r="F1484" s="14"/>
    </row>
    <row r="1485" ht="22.5" customHeight="1">
      <c r="F1485" s="14"/>
    </row>
    <row r="1486" ht="22.5" customHeight="1">
      <c r="F1486" s="14"/>
    </row>
    <row r="1487" ht="22.5" customHeight="1">
      <c r="F1487" s="14"/>
    </row>
    <row r="1488" ht="22.5" customHeight="1">
      <c r="F1488" s="14"/>
    </row>
    <row r="1489" ht="22.5" customHeight="1">
      <c r="F1489" s="14"/>
    </row>
    <row r="1490" ht="22.5" customHeight="1">
      <c r="F1490" s="14"/>
    </row>
    <row r="1491" ht="22.5" customHeight="1">
      <c r="F1491" s="14"/>
    </row>
    <row r="1492" ht="22.5" customHeight="1">
      <c r="F1492" s="14"/>
    </row>
    <row r="1493" ht="22.5" customHeight="1">
      <c r="F1493" s="14"/>
    </row>
    <row r="1494" ht="22.5" customHeight="1">
      <c r="F1494" s="14"/>
    </row>
    <row r="1495" ht="22.5" customHeight="1">
      <c r="F1495" s="14"/>
    </row>
    <row r="1496" ht="22.5" customHeight="1">
      <c r="F1496" s="14"/>
    </row>
    <row r="1497" ht="22.5" customHeight="1">
      <c r="F1497" s="14"/>
    </row>
    <row r="1498" ht="22.5" customHeight="1">
      <c r="F1498" s="14"/>
    </row>
    <row r="1499" ht="22.5" customHeight="1">
      <c r="F1499" s="14"/>
    </row>
    <row r="1500" ht="22.5" customHeight="1">
      <c r="F1500" s="14"/>
    </row>
    <row r="1501" ht="22.5" customHeight="1">
      <c r="F1501" s="14"/>
    </row>
    <row r="1502" ht="22.5" customHeight="1">
      <c r="F1502" s="14"/>
    </row>
    <row r="1503" ht="22.5" customHeight="1">
      <c r="F1503" s="14"/>
    </row>
    <row r="1504" ht="22.5" customHeight="1">
      <c r="F1504" s="14"/>
    </row>
    <row r="1505" ht="22.5" customHeight="1">
      <c r="F1505" s="14"/>
    </row>
    <row r="1506" ht="22.5" customHeight="1">
      <c r="F1506" s="14"/>
    </row>
    <row r="1507" ht="22.5" customHeight="1">
      <c r="F1507" s="14"/>
    </row>
    <row r="1508" ht="22.5" customHeight="1">
      <c r="F1508" s="14"/>
    </row>
    <row r="1509" ht="22.5" customHeight="1">
      <c r="F1509" s="14"/>
    </row>
    <row r="1510" ht="22.5" customHeight="1">
      <c r="F1510" s="14"/>
    </row>
    <row r="1511" ht="22.5" customHeight="1">
      <c r="F1511" s="14"/>
    </row>
    <row r="1512" ht="22.5" customHeight="1">
      <c r="F1512" s="14"/>
    </row>
    <row r="1513" ht="22.5" customHeight="1">
      <c r="F1513" s="14"/>
    </row>
    <row r="1514" ht="22.5" customHeight="1">
      <c r="F1514" s="14"/>
    </row>
    <row r="1515" ht="22.5" customHeight="1">
      <c r="F1515" s="14"/>
    </row>
    <row r="1516" ht="22.5" customHeight="1">
      <c r="F1516" s="14"/>
    </row>
    <row r="1517" ht="22.5" customHeight="1">
      <c r="F1517" s="14"/>
    </row>
    <row r="1518" ht="22.5" customHeight="1">
      <c r="F1518" s="14"/>
    </row>
    <row r="1519" ht="22.5" customHeight="1">
      <c r="F1519" s="14"/>
    </row>
    <row r="1520" ht="22.5" customHeight="1">
      <c r="F1520" s="14"/>
    </row>
    <row r="1521" ht="22.5" customHeight="1">
      <c r="F1521" s="14"/>
    </row>
    <row r="1522" ht="22.5" customHeight="1">
      <c r="F1522" s="14"/>
    </row>
    <row r="1523" ht="22.5" customHeight="1">
      <c r="F1523" s="14"/>
    </row>
    <row r="1524" ht="22.5" customHeight="1">
      <c r="F1524" s="14"/>
    </row>
    <row r="1525" ht="22.5" customHeight="1">
      <c r="F1525" s="14"/>
    </row>
    <row r="1526" ht="22.5" customHeight="1">
      <c r="F1526" s="14"/>
    </row>
    <row r="1527" ht="22.5" customHeight="1">
      <c r="F1527" s="14"/>
    </row>
    <row r="1528" ht="22.5" customHeight="1">
      <c r="F1528" s="14"/>
    </row>
    <row r="1529" ht="22.5" customHeight="1">
      <c r="F1529" s="14"/>
    </row>
    <row r="1530" ht="22.5" customHeight="1">
      <c r="F1530" s="14"/>
    </row>
    <row r="1531" ht="22.5" customHeight="1">
      <c r="F1531" s="14"/>
    </row>
    <row r="1532" ht="22.5" customHeight="1">
      <c r="F1532" s="14"/>
    </row>
    <row r="1533" ht="22.5" customHeight="1">
      <c r="F1533" s="14"/>
    </row>
    <row r="1534" ht="22.5" customHeight="1">
      <c r="F1534" s="14"/>
    </row>
    <row r="1535" ht="22.5" customHeight="1">
      <c r="F1535" s="14"/>
    </row>
    <row r="1536" ht="22.5" customHeight="1">
      <c r="F1536" s="14"/>
    </row>
    <row r="1537" ht="22.5" customHeight="1">
      <c r="F1537" s="14"/>
    </row>
    <row r="1538" ht="22.5" customHeight="1">
      <c r="F1538" s="14"/>
    </row>
    <row r="1539" ht="22.5" customHeight="1">
      <c r="F1539" s="14"/>
    </row>
    <row r="1540" ht="22.5" customHeight="1">
      <c r="F1540" s="14"/>
    </row>
    <row r="1541" ht="22.5" customHeight="1">
      <c r="F1541" s="14"/>
    </row>
    <row r="1542" ht="22.5" customHeight="1">
      <c r="F1542" s="14"/>
    </row>
    <row r="1543" ht="22.5" customHeight="1">
      <c r="F1543" s="14"/>
    </row>
    <row r="1544" ht="22.5" customHeight="1">
      <c r="F1544" s="14"/>
    </row>
    <row r="1545" ht="22.5" customHeight="1">
      <c r="F1545" s="14"/>
    </row>
    <row r="1546" ht="22.5" customHeight="1">
      <c r="F1546" s="14"/>
    </row>
    <row r="1547" ht="22.5" customHeight="1">
      <c r="F1547" s="14"/>
    </row>
    <row r="1548" ht="22.5" customHeight="1">
      <c r="F1548" s="14"/>
    </row>
    <row r="1549" ht="22.5" customHeight="1">
      <c r="F1549" s="14"/>
    </row>
    <row r="1550" ht="22.5" customHeight="1">
      <c r="F1550" s="14"/>
    </row>
    <row r="1551" ht="22.5" customHeight="1">
      <c r="F1551" s="14"/>
    </row>
    <row r="1552" ht="22.5" customHeight="1">
      <c r="F1552" s="14"/>
    </row>
    <row r="1553" ht="22.5" customHeight="1">
      <c r="F1553" s="14"/>
    </row>
    <row r="1554" ht="22.5" customHeight="1">
      <c r="F1554" s="14"/>
    </row>
    <row r="1555" ht="22.5" customHeight="1">
      <c r="F1555" s="14"/>
    </row>
    <row r="1556" ht="22.5" customHeight="1">
      <c r="F1556" s="14"/>
    </row>
    <row r="1557" ht="22.5" customHeight="1">
      <c r="F1557" s="14"/>
    </row>
    <row r="1558" ht="22.5" customHeight="1">
      <c r="F1558" s="14"/>
    </row>
    <row r="1559" ht="22.5" customHeight="1">
      <c r="F1559" s="14"/>
    </row>
    <row r="1560" ht="22.5" customHeight="1">
      <c r="F1560" s="14"/>
    </row>
    <row r="1561" ht="22.5" customHeight="1">
      <c r="F1561" s="14"/>
    </row>
    <row r="1562" ht="22.5" customHeight="1">
      <c r="F1562" s="14"/>
    </row>
    <row r="1563" ht="22.5" customHeight="1">
      <c r="F1563" s="14"/>
    </row>
    <row r="1564" ht="22.5" customHeight="1">
      <c r="F1564" s="14"/>
    </row>
    <row r="1565" ht="22.5" customHeight="1">
      <c r="F1565" s="14"/>
    </row>
    <row r="1566" ht="22.5" customHeight="1">
      <c r="F1566" s="14"/>
    </row>
    <row r="1567" ht="22.5" customHeight="1">
      <c r="F1567" s="14"/>
    </row>
    <row r="1568" ht="22.5" customHeight="1">
      <c r="F1568" s="14"/>
    </row>
    <row r="1569" ht="22.5" customHeight="1">
      <c r="F1569" s="14"/>
    </row>
    <row r="1570" ht="22.5" customHeight="1">
      <c r="F1570" s="14"/>
    </row>
    <row r="1571" ht="22.5" customHeight="1">
      <c r="F1571" s="14"/>
    </row>
    <row r="1572" ht="22.5" customHeight="1">
      <c r="F1572" s="14"/>
    </row>
    <row r="1573" ht="22.5" customHeight="1">
      <c r="F1573" s="14"/>
    </row>
    <row r="1574" ht="22.5" customHeight="1">
      <c r="F1574" s="14"/>
    </row>
    <row r="1575" ht="22.5" customHeight="1">
      <c r="F1575" s="14"/>
    </row>
    <row r="1576" ht="22.5" customHeight="1">
      <c r="F1576" s="14"/>
    </row>
    <row r="1577" ht="22.5" customHeight="1">
      <c r="F1577" s="14"/>
    </row>
    <row r="1578" ht="22.5" customHeight="1">
      <c r="F1578" s="14"/>
    </row>
    <row r="1579" ht="22.5" customHeight="1">
      <c r="F1579" s="14"/>
    </row>
    <row r="1580" ht="22.5" customHeight="1">
      <c r="F1580" s="14"/>
    </row>
    <row r="1581" ht="22.5" customHeight="1">
      <c r="F1581" s="14"/>
    </row>
    <row r="1582" ht="22.5" customHeight="1">
      <c r="F1582" s="14"/>
    </row>
    <row r="1583" ht="22.5" customHeight="1">
      <c r="F1583" s="14"/>
    </row>
    <row r="1584" ht="22.5" customHeight="1">
      <c r="F1584" s="14"/>
    </row>
    <row r="1585" ht="22.5" customHeight="1">
      <c r="F1585" s="14"/>
    </row>
    <row r="1586" ht="22.5" customHeight="1">
      <c r="F1586" s="14"/>
    </row>
    <row r="1587" ht="22.5" customHeight="1">
      <c r="F1587" s="14"/>
    </row>
    <row r="1588" ht="22.5" customHeight="1">
      <c r="F1588" s="14"/>
    </row>
    <row r="1589" ht="22.5" customHeight="1">
      <c r="F1589" s="14"/>
    </row>
    <row r="1590" ht="22.5" customHeight="1">
      <c r="F1590" s="14"/>
    </row>
    <row r="1591" ht="22.5" customHeight="1">
      <c r="F1591" s="14"/>
    </row>
    <row r="1592" ht="22.5" customHeight="1">
      <c r="F1592" s="14"/>
    </row>
    <row r="1593" ht="22.5" customHeight="1">
      <c r="F1593" s="14"/>
    </row>
    <row r="1594" ht="22.5" customHeight="1">
      <c r="F1594" s="14"/>
    </row>
    <row r="1595" ht="22.5" customHeight="1">
      <c r="F1595" s="14"/>
    </row>
    <row r="1596" ht="22.5" customHeight="1">
      <c r="F1596" s="14"/>
    </row>
    <row r="1597" ht="22.5" customHeight="1">
      <c r="F1597" s="14"/>
    </row>
    <row r="1598" ht="22.5" customHeight="1">
      <c r="F1598" s="14"/>
    </row>
    <row r="1599" ht="22.5" customHeight="1">
      <c r="F1599" s="14"/>
    </row>
    <row r="1600" ht="22.5" customHeight="1">
      <c r="F1600" s="14"/>
    </row>
    <row r="1601" ht="22.5" customHeight="1">
      <c r="F1601" s="14"/>
    </row>
    <row r="1602" ht="22.5" customHeight="1">
      <c r="F1602" s="14"/>
    </row>
    <row r="1603" ht="22.5" customHeight="1">
      <c r="F1603" s="14"/>
    </row>
    <row r="1604" ht="22.5" customHeight="1">
      <c r="F1604" s="14"/>
    </row>
    <row r="1605" ht="22.5" customHeight="1">
      <c r="F1605" s="14"/>
    </row>
    <row r="1606" ht="22.5" customHeight="1">
      <c r="F1606" s="14"/>
    </row>
    <row r="1607" ht="22.5" customHeight="1">
      <c r="F1607" s="14"/>
    </row>
    <row r="1608" ht="22.5" customHeight="1">
      <c r="F1608" s="14"/>
    </row>
    <row r="1609" ht="22.5" customHeight="1">
      <c r="F1609" s="14"/>
    </row>
    <row r="1610" ht="22.5" customHeight="1">
      <c r="F1610" s="14"/>
    </row>
    <row r="1611" ht="22.5" customHeight="1">
      <c r="F1611" s="14"/>
    </row>
    <row r="1612" ht="22.5" customHeight="1">
      <c r="F1612" s="14"/>
    </row>
    <row r="1613" ht="22.5" customHeight="1">
      <c r="F1613" s="14"/>
    </row>
    <row r="1614" ht="22.5" customHeight="1">
      <c r="F1614" s="14"/>
    </row>
    <row r="1615" ht="22.5" customHeight="1">
      <c r="F1615" s="14"/>
    </row>
    <row r="1616" ht="22.5" customHeight="1">
      <c r="F1616" s="14"/>
    </row>
    <row r="1617" ht="22.5" customHeight="1">
      <c r="F1617" s="14"/>
    </row>
    <row r="1618" ht="22.5" customHeight="1">
      <c r="F1618" s="14"/>
    </row>
    <row r="1619" ht="22.5" customHeight="1">
      <c r="F1619" s="14"/>
    </row>
    <row r="1620" ht="22.5" customHeight="1">
      <c r="F1620" s="14"/>
    </row>
    <row r="1621" ht="22.5" customHeight="1">
      <c r="F1621" s="14"/>
    </row>
    <row r="1622" ht="22.5" customHeight="1">
      <c r="F1622" s="14"/>
    </row>
    <row r="1623" ht="22.5" customHeight="1">
      <c r="F1623" s="14"/>
    </row>
    <row r="1624" ht="22.5" customHeight="1">
      <c r="F1624" s="14"/>
    </row>
    <row r="1625" ht="22.5" customHeight="1">
      <c r="F1625" s="14"/>
    </row>
    <row r="1626" ht="22.5" customHeight="1">
      <c r="F1626" s="14"/>
    </row>
    <row r="1627" ht="22.5" customHeight="1">
      <c r="F1627" s="14"/>
    </row>
    <row r="1628" ht="22.5" customHeight="1">
      <c r="F1628" s="14"/>
    </row>
    <row r="1629" ht="22.5" customHeight="1">
      <c r="F1629" s="14"/>
    </row>
    <row r="1630" ht="22.5" customHeight="1">
      <c r="F1630" s="14"/>
    </row>
    <row r="1631" ht="22.5" customHeight="1">
      <c r="F1631" s="14"/>
    </row>
    <row r="1632" ht="22.5" customHeight="1">
      <c r="F1632" s="14"/>
    </row>
    <row r="1633" ht="22.5" customHeight="1">
      <c r="F1633" s="14"/>
    </row>
    <row r="1634" ht="22.5" customHeight="1">
      <c r="F1634" s="14"/>
    </row>
    <row r="1635" ht="22.5" customHeight="1">
      <c r="F1635" s="14"/>
    </row>
    <row r="1636" ht="22.5" customHeight="1">
      <c r="F1636" s="14"/>
    </row>
    <row r="1637" ht="22.5" customHeight="1">
      <c r="F1637" s="14"/>
    </row>
    <row r="1638" ht="22.5" customHeight="1">
      <c r="F1638" s="14"/>
    </row>
    <row r="1639" ht="22.5" customHeight="1">
      <c r="F1639" s="14"/>
    </row>
    <row r="1640" ht="22.5" customHeight="1">
      <c r="F1640" s="14"/>
    </row>
    <row r="1641" ht="22.5" customHeight="1">
      <c r="F1641" s="14"/>
    </row>
    <row r="1642" ht="22.5" customHeight="1">
      <c r="F1642" s="14"/>
    </row>
    <row r="1643" ht="22.5" customHeight="1">
      <c r="F1643" s="14"/>
    </row>
    <row r="1644" ht="22.5" customHeight="1">
      <c r="F1644" s="14"/>
    </row>
    <row r="1645" ht="22.5" customHeight="1">
      <c r="F1645" s="14"/>
    </row>
    <row r="1646" ht="22.5" customHeight="1">
      <c r="F1646" s="14"/>
    </row>
    <row r="1647" ht="22.5" customHeight="1">
      <c r="F1647" s="14"/>
    </row>
    <row r="1648" ht="22.5" customHeight="1">
      <c r="F1648" s="14"/>
    </row>
    <row r="1649" ht="22.5" customHeight="1">
      <c r="F1649" s="14"/>
    </row>
    <row r="1650" ht="22.5" customHeight="1">
      <c r="F1650" s="14"/>
    </row>
    <row r="1651" ht="22.5" customHeight="1">
      <c r="F1651" s="14"/>
    </row>
    <row r="1652" ht="22.5" customHeight="1">
      <c r="F1652" s="14"/>
    </row>
    <row r="1653" ht="22.5" customHeight="1">
      <c r="F1653" s="14"/>
    </row>
    <row r="1654" ht="22.5" customHeight="1">
      <c r="F1654" s="14"/>
    </row>
    <row r="1655" ht="22.5" customHeight="1">
      <c r="F1655" s="14"/>
    </row>
    <row r="1656" ht="22.5" customHeight="1">
      <c r="F1656" s="14"/>
    </row>
    <row r="1657" ht="22.5" customHeight="1">
      <c r="F1657" s="14"/>
    </row>
    <row r="1658" ht="22.5" customHeight="1">
      <c r="F1658" s="14"/>
    </row>
    <row r="1659" ht="22.5" customHeight="1">
      <c r="F1659" s="14"/>
    </row>
    <row r="1660" ht="22.5" customHeight="1">
      <c r="F1660" s="14"/>
    </row>
    <row r="1661" ht="22.5" customHeight="1">
      <c r="F1661" s="14"/>
    </row>
    <row r="1662" ht="22.5" customHeight="1">
      <c r="F1662" s="14"/>
    </row>
    <row r="1663" ht="22.5" customHeight="1">
      <c r="F1663" s="14"/>
    </row>
    <row r="1664" ht="22.5" customHeight="1">
      <c r="F1664" s="14"/>
    </row>
    <row r="1665" ht="22.5" customHeight="1">
      <c r="F1665" s="14"/>
    </row>
    <row r="1666" ht="22.5" customHeight="1">
      <c r="F1666" s="14"/>
    </row>
    <row r="1667" ht="22.5" customHeight="1">
      <c r="F1667" s="14"/>
    </row>
    <row r="1668" ht="22.5" customHeight="1">
      <c r="F1668" s="14"/>
    </row>
    <row r="1669" ht="22.5" customHeight="1">
      <c r="F1669" s="14"/>
    </row>
    <row r="1670" ht="22.5" customHeight="1">
      <c r="F1670" s="14"/>
    </row>
    <row r="1671" ht="22.5" customHeight="1">
      <c r="F1671" s="14"/>
    </row>
    <row r="1672" ht="22.5" customHeight="1">
      <c r="F1672" s="14"/>
    </row>
    <row r="1673" ht="22.5" customHeight="1">
      <c r="F1673" s="14"/>
    </row>
    <row r="1674" ht="22.5" customHeight="1">
      <c r="F1674" s="14"/>
    </row>
    <row r="1675" ht="22.5" customHeight="1">
      <c r="F1675" s="14"/>
    </row>
    <row r="1676" ht="22.5" customHeight="1">
      <c r="F1676" s="14"/>
    </row>
    <row r="1677" ht="22.5" customHeight="1">
      <c r="F1677" s="14"/>
    </row>
    <row r="1678" ht="22.5" customHeight="1">
      <c r="F1678" s="14"/>
    </row>
    <row r="1679" ht="22.5" customHeight="1">
      <c r="F1679" s="14"/>
    </row>
    <row r="1680" ht="22.5" customHeight="1">
      <c r="F1680" s="14"/>
    </row>
    <row r="1681" ht="22.5" customHeight="1">
      <c r="F1681" s="14"/>
    </row>
    <row r="1682" ht="22.5" customHeight="1">
      <c r="F1682" s="14"/>
    </row>
    <row r="1683" ht="22.5" customHeight="1">
      <c r="F1683" s="14"/>
    </row>
    <row r="1684" ht="22.5" customHeight="1">
      <c r="F1684" s="14"/>
    </row>
    <row r="1685" ht="22.5" customHeight="1">
      <c r="F1685" s="14"/>
    </row>
    <row r="1686" ht="22.5" customHeight="1">
      <c r="F1686" s="14"/>
    </row>
    <row r="1687" ht="22.5" customHeight="1">
      <c r="F1687" s="14"/>
    </row>
    <row r="1688" ht="22.5" customHeight="1">
      <c r="F1688" s="14"/>
    </row>
    <row r="1689" ht="22.5" customHeight="1">
      <c r="F1689" s="14"/>
    </row>
    <row r="1690" ht="22.5" customHeight="1">
      <c r="F1690" s="14"/>
    </row>
    <row r="1691" ht="22.5" customHeight="1">
      <c r="F1691" s="14"/>
    </row>
    <row r="1692" ht="22.5" customHeight="1">
      <c r="F1692" s="14"/>
    </row>
    <row r="1693" ht="22.5" customHeight="1">
      <c r="F1693" s="14"/>
    </row>
    <row r="1694" ht="22.5" customHeight="1">
      <c r="F1694" s="14"/>
    </row>
    <row r="1695" ht="22.5" customHeight="1">
      <c r="F1695" s="14"/>
    </row>
    <row r="1696" ht="22.5" customHeight="1">
      <c r="F1696" s="14"/>
    </row>
    <row r="1697" ht="22.5" customHeight="1">
      <c r="F1697" s="14"/>
    </row>
    <row r="1698" ht="22.5" customHeight="1">
      <c r="F1698" s="14"/>
    </row>
    <row r="1699" ht="22.5" customHeight="1">
      <c r="F1699" s="14"/>
    </row>
    <row r="1700" ht="22.5" customHeight="1">
      <c r="F1700" s="14"/>
    </row>
    <row r="1701" ht="22.5" customHeight="1">
      <c r="F1701" s="14"/>
    </row>
    <row r="1702" ht="22.5" customHeight="1">
      <c r="F1702" s="14"/>
    </row>
    <row r="1703" ht="22.5" customHeight="1">
      <c r="F1703" s="14"/>
    </row>
    <row r="1704" ht="22.5" customHeight="1">
      <c r="F1704" s="14"/>
    </row>
    <row r="1705" ht="22.5" customHeight="1">
      <c r="F1705" s="14"/>
    </row>
    <row r="1706" ht="22.5" customHeight="1">
      <c r="F1706" s="14"/>
    </row>
    <row r="1707" ht="22.5" customHeight="1">
      <c r="F1707" s="14"/>
    </row>
    <row r="1708" ht="22.5" customHeight="1">
      <c r="F1708" s="14"/>
    </row>
    <row r="1709" ht="22.5" customHeight="1">
      <c r="F1709" s="14"/>
    </row>
    <row r="1710" ht="22.5" customHeight="1">
      <c r="F1710" s="14"/>
    </row>
    <row r="1711" ht="22.5" customHeight="1">
      <c r="F1711" s="14"/>
    </row>
    <row r="1712" ht="22.5" customHeight="1">
      <c r="F1712" s="14"/>
    </row>
    <row r="1713" ht="22.5" customHeight="1">
      <c r="F1713" s="14"/>
    </row>
    <row r="1714" ht="22.5" customHeight="1">
      <c r="F1714" s="14"/>
    </row>
    <row r="1715" ht="22.5" customHeight="1">
      <c r="F1715" s="14"/>
    </row>
    <row r="1716" ht="22.5" customHeight="1">
      <c r="F1716" s="14"/>
    </row>
    <row r="1717" ht="22.5" customHeight="1">
      <c r="F1717" s="14"/>
    </row>
    <row r="1718" ht="22.5" customHeight="1">
      <c r="F1718" s="14"/>
    </row>
    <row r="1719" ht="22.5" customHeight="1">
      <c r="F1719" s="14"/>
    </row>
    <row r="1720" ht="22.5" customHeight="1">
      <c r="F1720" s="14"/>
    </row>
    <row r="1721" ht="22.5" customHeight="1">
      <c r="F1721" s="14"/>
    </row>
    <row r="1722" ht="22.5" customHeight="1">
      <c r="F1722" s="14"/>
    </row>
    <row r="1723" ht="22.5" customHeight="1">
      <c r="F1723" s="14"/>
    </row>
    <row r="1724" ht="22.5" customHeight="1">
      <c r="F1724" s="14"/>
    </row>
    <row r="1725" ht="22.5" customHeight="1">
      <c r="F1725" s="14"/>
    </row>
    <row r="1726" ht="22.5" customHeight="1">
      <c r="F1726" s="14"/>
    </row>
    <row r="1727" ht="22.5" customHeight="1">
      <c r="F1727" s="14"/>
    </row>
    <row r="1728" ht="22.5" customHeight="1">
      <c r="F1728" s="14"/>
    </row>
    <row r="1729" ht="22.5" customHeight="1">
      <c r="F1729" s="14"/>
    </row>
    <row r="1730" ht="22.5" customHeight="1">
      <c r="F1730" s="14"/>
    </row>
    <row r="1731" ht="22.5" customHeight="1">
      <c r="F1731" s="14"/>
    </row>
    <row r="1732" ht="22.5" customHeight="1">
      <c r="F1732" s="14"/>
    </row>
    <row r="1733" ht="22.5" customHeight="1">
      <c r="F1733" s="14"/>
    </row>
    <row r="1734" ht="22.5" customHeight="1">
      <c r="F1734" s="14"/>
    </row>
    <row r="1735" ht="22.5" customHeight="1">
      <c r="F1735" s="14"/>
    </row>
    <row r="1736" ht="22.5" customHeight="1">
      <c r="F1736" s="14"/>
    </row>
    <row r="1737" ht="22.5" customHeight="1">
      <c r="F1737" s="14"/>
    </row>
    <row r="1738" ht="22.5" customHeight="1">
      <c r="F1738" s="14"/>
    </row>
    <row r="1739" ht="22.5" customHeight="1">
      <c r="F1739" s="14"/>
    </row>
    <row r="1740" ht="22.5" customHeight="1">
      <c r="F1740" s="14"/>
    </row>
    <row r="1741" ht="22.5" customHeight="1">
      <c r="F1741" s="14"/>
    </row>
    <row r="1742" ht="22.5" customHeight="1">
      <c r="F1742" s="14"/>
    </row>
    <row r="1743" ht="22.5" customHeight="1">
      <c r="F1743" s="14"/>
    </row>
    <row r="1744" ht="22.5" customHeight="1">
      <c r="F1744" s="14"/>
    </row>
    <row r="1745" ht="22.5" customHeight="1">
      <c r="F1745" s="14"/>
    </row>
    <row r="1746" ht="22.5" customHeight="1">
      <c r="F1746" s="14"/>
    </row>
    <row r="1747" ht="22.5" customHeight="1">
      <c r="F1747" s="14"/>
    </row>
    <row r="1748" ht="22.5" customHeight="1">
      <c r="F1748" s="14"/>
    </row>
    <row r="1749" ht="22.5" customHeight="1">
      <c r="F1749" s="14"/>
    </row>
    <row r="1750" ht="22.5" customHeight="1">
      <c r="F1750" s="14"/>
    </row>
    <row r="1751" ht="22.5" customHeight="1">
      <c r="F1751" s="14"/>
    </row>
    <row r="1752" ht="22.5" customHeight="1">
      <c r="F1752" s="14"/>
    </row>
    <row r="1753" ht="22.5" customHeight="1">
      <c r="F1753" s="14"/>
    </row>
    <row r="1754" ht="22.5" customHeight="1">
      <c r="F1754" s="14"/>
    </row>
    <row r="1755" ht="22.5" customHeight="1">
      <c r="F1755" s="14"/>
    </row>
    <row r="1756" ht="22.5" customHeight="1">
      <c r="F1756" s="14"/>
    </row>
    <row r="1757" ht="22.5" customHeight="1">
      <c r="F1757" s="14"/>
    </row>
    <row r="1758" ht="22.5" customHeight="1">
      <c r="F1758" s="14"/>
    </row>
    <row r="1759" ht="22.5" customHeight="1">
      <c r="F1759" s="14"/>
    </row>
    <row r="1760" ht="22.5" customHeight="1">
      <c r="F1760" s="14"/>
    </row>
    <row r="1761" ht="22.5" customHeight="1">
      <c r="F1761" s="14"/>
    </row>
    <row r="1762" ht="22.5" customHeight="1">
      <c r="F1762" s="14"/>
    </row>
    <row r="1763" ht="22.5" customHeight="1">
      <c r="F1763" s="14"/>
    </row>
    <row r="1764" ht="22.5" customHeight="1">
      <c r="F1764" s="14"/>
    </row>
    <row r="1765" ht="22.5" customHeight="1">
      <c r="F1765" s="14"/>
    </row>
    <row r="1766" ht="22.5" customHeight="1">
      <c r="F1766" s="14"/>
    </row>
    <row r="1767" ht="22.5" customHeight="1">
      <c r="F1767" s="14"/>
    </row>
    <row r="1768" ht="22.5" customHeight="1">
      <c r="F1768" s="14"/>
    </row>
    <row r="1769" ht="22.5" customHeight="1">
      <c r="F1769" s="14"/>
    </row>
    <row r="1770" ht="22.5" customHeight="1">
      <c r="F1770" s="14"/>
    </row>
    <row r="1771" ht="22.5" customHeight="1">
      <c r="F1771" s="14"/>
    </row>
    <row r="1772" ht="22.5" customHeight="1">
      <c r="F1772" s="14"/>
    </row>
    <row r="1773" ht="22.5" customHeight="1">
      <c r="F1773" s="14"/>
    </row>
    <row r="1774" ht="22.5" customHeight="1">
      <c r="F1774" s="14"/>
    </row>
    <row r="1775" ht="22.5" customHeight="1">
      <c r="F1775" s="14"/>
    </row>
    <row r="1776" ht="22.5" customHeight="1">
      <c r="F1776" s="14"/>
    </row>
    <row r="1777" ht="22.5" customHeight="1">
      <c r="F1777" s="14"/>
    </row>
    <row r="1778" ht="22.5" customHeight="1">
      <c r="F1778" s="14"/>
    </row>
    <row r="1779" ht="22.5" customHeight="1">
      <c r="F1779" s="14"/>
    </row>
    <row r="1780" ht="22.5" customHeight="1">
      <c r="F1780" s="14"/>
    </row>
    <row r="1781" ht="22.5" customHeight="1">
      <c r="F1781" s="14"/>
    </row>
    <row r="1782" ht="22.5" customHeight="1">
      <c r="F1782" s="14"/>
    </row>
    <row r="1783" ht="22.5" customHeight="1">
      <c r="F1783" s="14"/>
    </row>
    <row r="1784" ht="22.5" customHeight="1">
      <c r="F1784" s="14"/>
    </row>
    <row r="1785" ht="22.5" customHeight="1">
      <c r="F1785" s="14"/>
    </row>
    <row r="1786" ht="22.5" customHeight="1">
      <c r="F1786" s="14"/>
    </row>
    <row r="1787" ht="22.5" customHeight="1">
      <c r="F1787" s="14"/>
    </row>
    <row r="1788" ht="22.5" customHeight="1">
      <c r="F1788" s="14"/>
    </row>
    <row r="1789" ht="22.5" customHeight="1">
      <c r="F1789" s="14"/>
    </row>
    <row r="1790" ht="22.5" customHeight="1">
      <c r="F1790" s="14"/>
    </row>
    <row r="1791" ht="22.5" customHeight="1">
      <c r="F1791" s="14"/>
    </row>
    <row r="1792" ht="22.5" customHeight="1">
      <c r="F1792" s="14"/>
    </row>
    <row r="1793" ht="22.5" customHeight="1">
      <c r="F1793" s="14"/>
    </row>
    <row r="1794" ht="22.5" customHeight="1">
      <c r="F1794" s="14"/>
    </row>
    <row r="1795" ht="22.5" customHeight="1">
      <c r="F1795" s="14"/>
    </row>
    <row r="1796" ht="22.5" customHeight="1">
      <c r="F1796" s="14"/>
    </row>
    <row r="1797" ht="22.5" customHeight="1">
      <c r="F1797" s="14"/>
    </row>
    <row r="1798" ht="22.5" customHeight="1">
      <c r="F1798" s="14"/>
    </row>
    <row r="1799" ht="22.5" customHeight="1">
      <c r="F1799" s="14"/>
    </row>
    <row r="1800" ht="22.5" customHeight="1">
      <c r="F1800" s="14"/>
    </row>
    <row r="1801" ht="22.5" customHeight="1">
      <c r="F1801" s="14"/>
    </row>
    <row r="1802" ht="22.5" customHeight="1">
      <c r="F1802" s="14"/>
    </row>
    <row r="1803" ht="22.5" customHeight="1">
      <c r="F1803" s="14"/>
    </row>
    <row r="1804" ht="22.5" customHeight="1">
      <c r="F1804" s="14"/>
    </row>
    <row r="1805" ht="22.5" customHeight="1">
      <c r="F1805" s="14"/>
    </row>
    <row r="1806" ht="22.5" customHeight="1">
      <c r="F1806" s="14"/>
    </row>
    <row r="1807" ht="22.5" customHeight="1">
      <c r="F1807" s="14"/>
    </row>
    <row r="1808" ht="22.5" customHeight="1">
      <c r="F1808" s="14"/>
    </row>
    <row r="1809" ht="22.5" customHeight="1">
      <c r="F1809" s="14"/>
    </row>
    <row r="1810" ht="22.5" customHeight="1">
      <c r="F1810" s="14"/>
    </row>
    <row r="1811" ht="22.5" customHeight="1">
      <c r="F1811" s="14"/>
    </row>
    <row r="1812" ht="22.5" customHeight="1">
      <c r="F1812" s="14"/>
    </row>
    <row r="1813" ht="22.5" customHeight="1">
      <c r="F1813" s="14"/>
    </row>
    <row r="1814" ht="22.5" customHeight="1">
      <c r="F1814" s="14"/>
    </row>
    <row r="1815" ht="22.5" customHeight="1">
      <c r="F1815" s="14"/>
    </row>
    <row r="1816" ht="22.5" customHeight="1">
      <c r="F1816" s="14"/>
    </row>
    <row r="1817" ht="22.5" customHeight="1">
      <c r="F1817" s="14"/>
    </row>
    <row r="1818" ht="22.5" customHeight="1">
      <c r="F1818" s="14"/>
    </row>
    <row r="1819" ht="22.5" customHeight="1">
      <c r="F1819" s="14"/>
    </row>
    <row r="1820" ht="22.5" customHeight="1">
      <c r="F1820" s="14"/>
    </row>
    <row r="1821" ht="22.5" customHeight="1">
      <c r="F1821" s="14"/>
    </row>
    <row r="1822" ht="22.5" customHeight="1">
      <c r="F1822" s="14"/>
    </row>
    <row r="1823" ht="22.5" customHeight="1">
      <c r="F1823" s="14"/>
    </row>
    <row r="1824" ht="22.5" customHeight="1">
      <c r="F1824" s="14"/>
    </row>
    <row r="1825" ht="22.5" customHeight="1">
      <c r="F1825" s="14"/>
    </row>
    <row r="1826" ht="22.5" customHeight="1">
      <c r="F1826" s="14"/>
    </row>
    <row r="1827" ht="22.5" customHeight="1">
      <c r="F1827" s="14"/>
    </row>
    <row r="1828" ht="22.5" customHeight="1">
      <c r="F1828" s="14"/>
    </row>
    <row r="1829" ht="22.5" customHeight="1">
      <c r="F1829" s="14"/>
    </row>
    <row r="1830" ht="22.5" customHeight="1">
      <c r="F1830" s="14"/>
    </row>
    <row r="1831" ht="22.5" customHeight="1">
      <c r="F1831" s="14"/>
    </row>
    <row r="1832" ht="22.5" customHeight="1">
      <c r="F1832" s="14"/>
    </row>
    <row r="1833" ht="22.5" customHeight="1">
      <c r="F1833" s="14"/>
    </row>
    <row r="1834" ht="22.5" customHeight="1">
      <c r="F1834" s="14"/>
    </row>
    <row r="1835" ht="22.5" customHeight="1">
      <c r="F1835" s="14"/>
    </row>
    <row r="1836" ht="22.5" customHeight="1">
      <c r="F1836" s="14"/>
    </row>
    <row r="1837" ht="22.5" customHeight="1">
      <c r="F1837" s="14"/>
    </row>
    <row r="1838" ht="22.5" customHeight="1">
      <c r="F1838" s="14"/>
    </row>
    <row r="1839" ht="22.5" customHeight="1">
      <c r="F1839" s="14"/>
    </row>
    <row r="1840" ht="22.5" customHeight="1">
      <c r="F1840" s="14"/>
    </row>
    <row r="1841" ht="22.5" customHeight="1">
      <c r="F1841" s="14"/>
    </row>
    <row r="1842" ht="22.5" customHeight="1">
      <c r="F1842" s="14"/>
    </row>
    <row r="1843" ht="22.5" customHeight="1">
      <c r="F1843" s="14"/>
    </row>
    <row r="1844" ht="22.5" customHeight="1">
      <c r="F1844" s="14"/>
    </row>
    <row r="1845" ht="22.5" customHeight="1">
      <c r="F1845" s="14"/>
    </row>
    <row r="1846" ht="22.5" customHeight="1">
      <c r="F1846" s="14"/>
    </row>
    <row r="1847" ht="22.5" customHeight="1">
      <c r="F1847" s="14"/>
    </row>
    <row r="1848" ht="22.5" customHeight="1">
      <c r="F1848" s="14"/>
    </row>
    <row r="1849" ht="22.5" customHeight="1">
      <c r="F1849" s="14"/>
    </row>
    <row r="1850" ht="22.5" customHeight="1">
      <c r="F1850" s="14"/>
    </row>
    <row r="1851" ht="22.5" customHeight="1">
      <c r="F1851" s="14"/>
    </row>
    <row r="1852" ht="22.5" customHeight="1">
      <c r="F1852" s="14"/>
    </row>
    <row r="1853" ht="22.5" customHeight="1">
      <c r="F1853" s="14"/>
    </row>
    <row r="1854" ht="22.5" customHeight="1">
      <c r="F1854" s="14"/>
    </row>
    <row r="1855" ht="22.5" customHeight="1">
      <c r="F1855" s="14"/>
    </row>
    <row r="1856" ht="22.5" customHeight="1">
      <c r="F1856" s="14"/>
    </row>
    <row r="1857" ht="22.5" customHeight="1">
      <c r="F1857" s="14"/>
    </row>
    <row r="1858" ht="22.5" customHeight="1">
      <c r="F1858" s="14"/>
    </row>
    <row r="1859" ht="22.5" customHeight="1">
      <c r="F1859" s="14"/>
    </row>
    <row r="1860" ht="22.5" customHeight="1">
      <c r="F1860" s="14"/>
    </row>
    <row r="1861" ht="22.5" customHeight="1">
      <c r="F1861" s="14"/>
    </row>
    <row r="1862" ht="22.5" customHeight="1">
      <c r="F1862" s="14"/>
    </row>
    <row r="1863" ht="22.5" customHeight="1">
      <c r="F1863" s="14"/>
    </row>
    <row r="1864" ht="22.5" customHeight="1">
      <c r="F1864" s="14"/>
    </row>
    <row r="1865" ht="22.5" customHeight="1">
      <c r="F1865" s="14"/>
    </row>
    <row r="1866" ht="22.5" customHeight="1">
      <c r="F1866" s="14"/>
    </row>
    <row r="1867" ht="22.5" customHeight="1">
      <c r="F1867" s="14"/>
    </row>
    <row r="1868" ht="22.5" customHeight="1">
      <c r="F1868" s="14"/>
    </row>
    <row r="1869" ht="22.5" customHeight="1">
      <c r="F1869" s="14"/>
    </row>
    <row r="1870" ht="22.5" customHeight="1">
      <c r="F1870" s="14"/>
    </row>
    <row r="1871" ht="22.5" customHeight="1">
      <c r="F1871" s="14"/>
    </row>
    <row r="1872" ht="22.5" customHeight="1">
      <c r="F1872" s="14"/>
    </row>
    <row r="1873" ht="22.5" customHeight="1">
      <c r="F1873" s="14"/>
    </row>
    <row r="1874" ht="22.5" customHeight="1">
      <c r="F1874" s="14"/>
    </row>
    <row r="1875" ht="22.5" customHeight="1">
      <c r="F1875" s="14"/>
    </row>
    <row r="1876" ht="22.5" customHeight="1">
      <c r="F1876" s="14"/>
    </row>
    <row r="1877" ht="22.5" customHeight="1">
      <c r="F1877" s="14"/>
    </row>
    <row r="1878" ht="22.5" customHeight="1">
      <c r="F1878" s="14"/>
    </row>
    <row r="1879" ht="22.5" customHeight="1">
      <c r="F1879" s="14"/>
    </row>
    <row r="1880" ht="22.5" customHeight="1">
      <c r="F1880" s="14"/>
    </row>
    <row r="1881" ht="22.5" customHeight="1">
      <c r="F1881" s="14"/>
    </row>
    <row r="1882" ht="22.5" customHeight="1">
      <c r="F1882" s="14"/>
    </row>
    <row r="1883" ht="22.5" customHeight="1">
      <c r="F1883" s="14"/>
    </row>
    <row r="1884" ht="22.5" customHeight="1">
      <c r="F1884" s="14"/>
    </row>
    <row r="1885" ht="22.5" customHeight="1">
      <c r="F1885" s="14"/>
    </row>
    <row r="1886" ht="22.5" customHeight="1">
      <c r="F1886" s="14"/>
    </row>
    <row r="1887" ht="22.5" customHeight="1">
      <c r="F1887" s="14"/>
    </row>
    <row r="1888" ht="22.5" customHeight="1">
      <c r="F1888" s="14"/>
    </row>
    <row r="1889" ht="22.5" customHeight="1">
      <c r="F1889" s="14"/>
    </row>
    <row r="1890" ht="22.5" customHeight="1">
      <c r="F1890" s="14"/>
    </row>
    <row r="1891" ht="22.5" customHeight="1">
      <c r="F1891" s="14"/>
    </row>
    <row r="1892" ht="22.5" customHeight="1">
      <c r="F1892" s="14"/>
    </row>
    <row r="1893" ht="22.5" customHeight="1">
      <c r="F1893" s="14"/>
    </row>
    <row r="1894" ht="22.5" customHeight="1">
      <c r="F1894" s="14"/>
    </row>
    <row r="1895" ht="22.5" customHeight="1">
      <c r="F1895" s="14"/>
    </row>
    <row r="1896" ht="22.5" customHeight="1">
      <c r="F1896" s="14"/>
    </row>
    <row r="1897" ht="22.5" customHeight="1">
      <c r="F1897" s="14"/>
    </row>
    <row r="1898" ht="22.5" customHeight="1">
      <c r="F1898" s="14"/>
    </row>
    <row r="1899" ht="22.5" customHeight="1">
      <c r="F1899" s="14"/>
    </row>
    <row r="1900" ht="22.5" customHeight="1">
      <c r="F1900" s="14"/>
    </row>
    <row r="1901" ht="22.5" customHeight="1">
      <c r="F1901" s="14"/>
    </row>
    <row r="1902" ht="22.5" customHeight="1">
      <c r="F1902" s="14"/>
    </row>
    <row r="1903" ht="22.5" customHeight="1">
      <c r="F1903" s="14"/>
    </row>
    <row r="1904" ht="22.5" customHeight="1">
      <c r="F1904" s="14"/>
    </row>
    <row r="1905" ht="22.5" customHeight="1">
      <c r="F1905" s="14"/>
    </row>
    <row r="1906" ht="22.5" customHeight="1">
      <c r="F1906" s="14"/>
    </row>
    <row r="1907" ht="22.5" customHeight="1">
      <c r="F1907" s="14"/>
    </row>
    <row r="1908" ht="22.5" customHeight="1">
      <c r="F1908" s="14"/>
    </row>
    <row r="1909" ht="22.5" customHeight="1">
      <c r="F1909" s="14"/>
    </row>
    <row r="1910" ht="22.5" customHeight="1">
      <c r="F1910" s="14"/>
    </row>
    <row r="1911" ht="22.5" customHeight="1">
      <c r="F1911" s="14"/>
    </row>
    <row r="1912" ht="22.5" customHeight="1">
      <c r="F1912" s="14"/>
    </row>
    <row r="1913" ht="22.5" customHeight="1">
      <c r="F1913" s="14"/>
    </row>
    <row r="1914" ht="22.5" customHeight="1">
      <c r="F1914" s="14"/>
    </row>
    <row r="1915" ht="22.5" customHeight="1">
      <c r="F1915" s="14"/>
    </row>
    <row r="1916" ht="22.5" customHeight="1">
      <c r="F1916" s="14"/>
    </row>
    <row r="1917" ht="22.5" customHeight="1">
      <c r="F1917" s="14"/>
    </row>
    <row r="1918" ht="22.5" customHeight="1">
      <c r="F1918" s="14"/>
    </row>
    <row r="1919" ht="22.5" customHeight="1">
      <c r="F1919" s="14"/>
    </row>
    <row r="1920" ht="22.5" customHeight="1">
      <c r="F1920" s="14"/>
    </row>
    <row r="1921" ht="22.5" customHeight="1">
      <c r="F1921" s="14"/>
    </row>
    <row r="1922" ht="22.5" customHeight="1">
      <c r="F1922" s="14"/>
    </row>
    <row r="1923" ht="22.5" customHeight="1">
      <c r="F1923" s="14"/>
    </row>
    <row r="1924" ht="22.5" customHeight="1">
      <c r="F1924" s="14"/>
    </row>
    <row r="1925" ht="22.5" customHeight="1">
      <c r="F1925" s="14"/>
    </row>
    <row r="1926" ht="22.5" customHeight="1">
      <c r="F1926" s="14"/>
    </row>
    <row r="1927" ht="22.5" customHeight="1">
      <c r="F1927" s="14"/>
    </row>
    <row r="1928" ht="22.5" customHeight="1">
      <c r="F1928" s="14"/>
    </row>
    <row r="1929" ht="22.5" customHeight="1">
      <c r="F1929" s="14"/>
    </row>
    <row r="1930" ht="22.5" customHeight="1">
      <c r="F1930" s="14"/>
    </row>
    <row r="1931" ht="22.5" customHeight="1">
      <c r="F1931" s="14"/>
    </row>
    <row r="1932" ht="22.5" customHeight="1">
      <c r="F1932" s="14"/>
    </row>
    <row r="1933" ht="22.5" customHeight="1">
      <c r="F1933" s="14"/>
    </row>
    <row r="1934" ht="22.5" customHeight="1">
      <c r="F1934" s="14"/>
    </row>
    <row r="1935" ht="22.5" customHeight="1">
      <c r="F1935" s="14"/>
    </row>
    <row r="1936" ht="22.5" customHeight="1">
      <c r="F1936" s="14"/>
    </row>
    <row r="1937" ht="22.5" customHeight="1">
      <c r="F1937" s="14"/>
    </row>
    <row r="1938" ht="22.5" customHeight="1">
      <c r="F1938" s="14"/>
    </row>
    <row r="1939" ht="22.5" customHeight="1">
      <c r="F1939" s="14"/>
    </row>
    <row r="1940" ht="22.5" customHeight="1">
      <c r="F1940" s="14"/>
    </row>
    <row r="1941" ht="22.5" customHeight="1">
      <c r="F1941" s="14"/>
    </row>
    <row r="1942" ht="22.5" customHeight="1">
      <c r="F1942" s="14"/>
    </row>
    <row r="1943" ht="22.5" customHeight="1">
      <c r="F1943" s="14"/>
    </row>
    <row r="1944" ht="22.5" customHeight="1">
      <c r="F1944" s="14"/>
    </row>
    <row r="1945" ht="22.5" customHeight="1">
      <c r="F1945" s="14"/>
    </row>
    <row r="1946" ht="22.5" customHeight="1">
      <c r="F1946" s="14"/>
    </row>
    <row r="1947" ht="22.5" customHeight="1">
      <c r="F1947" s="14"/>
    </row>
    <row r="1948" ht="22.5" customHeight="1">
      <c r="F1948" s="14"/>
    </row>
    <row r="1949" ht="22.5" customHeight="1">
      <c r="F1949" s="14"/>
    </row>
    <row r="1950" ht="22.5" customHeight="1">
      <c r="F1950" s="14"/>
    </row>
    <row r="1951" ht="22.5" customHeight="1">
      <c r="F1951" s="14"/>
    </row>
    <row r="1952" ht="22.5" customHeight="1">
      <c r="F1952" s="14"/>
    </row>
    <row r="1953" ht="22.5" customHeight="1">
      <c r="F1953" s="14"/>
    </row>
    <row r="1954" ht="22.5" customHeight="1">
      <c r="F1954" s="14"/>
    </row>
    <row r="1955" ht="22.5" customHeight="1">
      <c r="F1955" s="14"/>
    </row>
    <row r="1956" ht="22.5" customHeight="1">
      <c r="F1956" s="14"/>
    </row>
    <row r="1957" ht="22.5" customHeight="1">
      <c r="F1957" s="14"/>
    </row>
    <row r="1958" ht="22.5" customHeight="1">
      <c r="F1958" s="14"/>
    </row>
    <row r="1959" ht="22.5" customHeight="1">
      <c r="F1959" s="14"/>
    </row>
    <row r="1960" ht="22.5" customHeight="1">
      <c r="F1960" s="14"/>
    </row>
    <row r="1961" ht="22.5" customHeight="1">
      <c r="F1961" s="14"/>
    </row>
    <row r="1962" ht="22.5" customHeight="1">
      <c r="F1962" s="14"/>
    </row>
    <row r="1963" ht="22.5" customHeight="1">
      <c r="F1963" s="14"/>
    </row>
    <row r="1964" ht="22.5" customHeight="1">
      <c r="F1964" s="14"/>
    </row>
    <row r="1965" ht="22.5" customHeight="1">
      <c r="F1965" s="14"/>
    </row>
    <row r="1966" ht="22.5" customHeight="1">
      <c r="F1966" s="14"/>
    </row>
    <row r="1967" ht="22.5" customHeight="1">
      <c r="F1967" s="14"/>
    </row>
    <row r="1968" ht="22.5" customHeight="1">
      <c r="F1968" s="14"/>
    </row>
    <row r="1969" ht="22.5" customHeight="1">
      <c r="F1969" s="14"/>
    </row>
    <row r="1970" ht="22.5" customHeight="1">
      <c r="F1970" s="14"/>
    </row>
    <row r="1971" ht="22.5" customHeight="1">
      <c r="F1971" s="14"/>
    </row>
    <row r="1972" ht="22.5" customHeight="1">
      <c r="F1972" s="14"/>
    </row>
    <row r="1973" ht="22.5" customHeight="1">
      <c r="F1973" s="14"/>
    </row>
    <row r="1974" ht="22.5" customHeight="1">
      <c r="F1974" s="14"/>
    </row>
    <row r="1975" ht="22.5" customHeight="1">
      <c r="F1975" s="14"/>
    </row>
    <row r="1976" ht="22.5" customHeight="1">
      <c r="F1976" s="14"/>
    </row>
    <row r="1977" ht="22.5" customHeight="1">
      <c r="F1977" s="14"/>
    </row>
    <row r="1978" ht="22.5" customHeight="1">
      <c r="F1978" s="14"/>
    </row>
    <row r="1979" ht="22.5" customHeight="1">
      <c r="F1979" s="14"/>
    </row>
    <row r="1980" ht="22.5" customHeight="1">
      <c r="F1980" s="14"/>
    </row>
    <row r="1981" ht="22.5" customHeight="1">
      <c r="F1981" s="14"/>
    </row>
    <row r="1982" ht="22.5" customHeight="1">
      <c r="F1982" s="14"/>
    </row>
    <row r="1983" ht="22.5" customHeight="1">
      <c r="F1983" s="14"/>
    </row>
    <row r="1984" ht="22.5" customHeight="1">
      <c r="F1984" s="14"/>
    </row>
    <row r="1985" ht="22.5" customHeight="1">
      <c r="F1985" s="14"/>
    </row>
    <row r="1986" ht="22.5" customHeight="1">
      <c r="F1986" s="14"/>
    </row>
    <row r="1987" ht="22.5" customHeight="1">
      <c r="F1987" s="14"/>
    </row>
    <row r="1988" ht="22.5" customHeight="1">
      <c r="F1988" s="14"/>
    </row>
    <row r="1989" ht="22.5" customHeight="1">
      <c r="F1989" s="14"/>
    </row>
    <row r="1990" ht="22.5" customHeight="1">
      <c r="F1990" s="14"/>
    </row>
    <row r="1991" ht="22.5" customHeight="1">
      <c r="F1991" s="14"/>
    </row>
    <row r="1992" ht="22.5" customHeight="1">
      <c r="F1992" s="14"/>
    </row>
    <row r="1993" ht="22.5" customHeight="1">
      <c r="F1993" s="14"/>
    </row>
    <row r="1994" ht="22.5" customHeight="1">
      <c r="F1994" s="14"/>
    </row>
    <row r="1995" ht="22.5" customHeight="1">
      <c r="F1995" s="14"/>
    </row>
    <row r="1996" ht="22.5" customHeight="1">
      <c r="F1996" s="14"/>
    </row>
    <row r="1997" ht="22.5" customHeight="1">
      <c r="F1997" s="14"/>
    </row>
    <row r="1998" ht="22.5" customHeight="1">
      <c r="F1998" s="14"/>
    </row>
    <row r="1999" ht="22.5" customHeight="1">
      <c r="F1999" s="14"/>
    </row>
    <row r="2000" ht="22.5" customHeight="1">
      <c r="F2000" s="14"/>
    </row>
    <row r="2001" ht="22.5" customHeight="1">
      <c r="F2001" s="14"/>
    </row>
    <row r="2002" ht="22.5" customHeight="1">
      <c r="F2002" s="14"/>
    </row>
    <row r="2003" ht="22.5" customHeight="1">
      <c r="F2003" s="14"/>
    </row>
    <row r="2004" ht="22.5" customHeight="1">
      <c r="F2004" s="14"/>
    </row>
    <row r="2005" ht="22.5" customHeight="1">
      <c r="F2005" s="14"/>
    </row>
    <row r="2006" ht="22.5" customHeight="1">
      <c r="F2006" s="14"/>
    </row>
    <row r="2007" ht="22.5" customHeight="1">
      <c r="F2007" s="14"/>
    </row>
    <row r="2008" ht="22.5" customHeight="1">
      <c r="F2008" s="14"/>
    </row>
    <row r="2009" ht="22.5" customHeight="1">
      <c r="F2009" s="14"/>
    </row>
    <row r="2010" ht="22.5" customHeight="1">
      <c r="F2010" s="14"/>
    </row>
    <row r="2011" ht="22.5" customHeight="1">
      <c r="F2011" s="14"/>
    </row>
    <row r="2012" ht="22.5" customHeight="1">
      <c r="F2012" s="14"/>
    </row>
    <row r="2013" ht="22.5" customHeight="1">
      <c r="F2013" s="14"/>
    </row>
    <row r="2014" ht="22.5" customHeight="1">
      <c r="F2014" s="14"/>
    </row>
    <row r="2015" ht="22.5" customHeight="1">
      <c r="F2015" s="14"/>
    </row>
    <row r="2016" ht="22.5" customHeight="1">
      <c r="F2016" s="14"/>
    </row>
    <row r="2017" ht="22.5" customHeight="1">
      <c r="F2017" s="14"/>
    </row>
    <row r="2018" ht="22.5" customHeight="1">
      <c r="F2018" s="14"/>
    </row>
    <row r="2019" ht="22.5" customHeight="1">
      <c r="F2019" s="14"/>
    </row>
    <row r="2020" ht="22.5" customHeight="1">
      <c r="F2020" s="14"/>
    </row>
    <row r="2021" ht="22.5" customHeight="1">
      <c r="F2021" s="14"/>
    </row>
    <row r="2022" ht="22.5" customHeight="1">
      <c r="F2022" s="14"/>
    </row>
    <row r="2023" ht="22.5" customHeight="1">
      <c r="F2023" s="14"/>
    </row>
    <row r="2024" ht="22.5" customHeight="1">
      <c r="F2024" s="14"/>
    </row>
    <row r="2025" ht="22.5" customHeight="1">
      <c r="F2025" s="14"/>
    </row>
    <row r="2026" ht="22.5" customHeight="1">
      <c r="F2026" s="14"/>
    </row>
    <row r="2027" ht="22.5" customHeight="1">
      <c r="F2027" s="14"/>
    </row>
    <row r="2028" ht="22.5" customHeight="1">
      <c r="F2028" s="14"/>
    </row>
    <row r="2029" ht="22.5" customHeight="1">
      <c r="F2029" s="14"/>
    </row>
    <row r="2030" ht="22.5" customHeight="1">
      <c r="F2030" s="14"/>
    </row>
    <row r="2031" ht="22.5" customHeight="1">
      <c r="F2031" s="14"/>
    </row>
    <row r="2032" ht="22.5" customHeight="1">
      <c r="F2032" s="14"/>
    </row>
    <row r="2033" ht="22.5" customHeight="1">
      <c r="F2033" s="14"/>
    </row>
    <row r="2034" ht="22.5" customHeight="1">
      <c r="F2034" s="14"/>
    </row>
    <row r="2035" ht="22.5" customHeight="1">
      <c r="F2035" s="14"/>
    </row>
    <row r="2036" ht="22.5" customHeight="1">
      <c r="F2036" s="14"/>
    </row>
    <row r="2037" ht="22.5" customHeight="1">
      <c r="F2037" s="14"/>
    </row>
    <row r="2038" ht="22.5" customHeight="1">
      <c r="F2038" s="14"/>
    </row>
    <row r="2039" ht="22.5" customHeight="1">
      <c r="F2039" s="14"/>
    </row>
    <row r="2040" ht="22.5" customHeight="1">
      <c r="F2040" s="14"/>
    </row>
    <row r="2041" ht="22.5" customHeight="1">
      <c r="F2041" s="14"/>
    </row>
    <row r="2042" ht="22.5" customHeight="1">
      <c r="F2042" s="14"/>
    </row>
    <row r="2043" ht="22.5" customHeight="1">
      <c r="F2043" s="14"/>
    </row>
    <row r="2044" ht="22.5" customHeight="1">
      <c r="F2044" s="14"/>
    </row>
    <row r="2045" ht="22.5" customHeight="1">
      <c r="F2045" s="14"/>
    </row>
    <row r="2046" ht="22.5" customHeight="1">
      <c r="F2046" s="14"/>
    </row>
    <row r="2047" ht="22.5" customHeight="1">
      <c r="F2047" s="14"/>
    </row>
    <row r="2048" ht="22.5" customHeight="1">
      <c r="F2048" s="14"/>
    </row>
    <row r="2049" ht="22.5" customHeight="1">
      <c r="F2049" s="14"/>
    </row>
    <row r="2050" ht="22.5" customHeight="1">
      <c r="F2050" s="14"/>
    </row>
    <row r="2051" ht="22.5" customHeight="1">
      <c r="F2051" s="14"/>
    </row>
    <row r="2052" ht="22.5" customHeight="1">
      <c r="F2052" s="14"/>
    </row>
    <row r="2053" ht="22.5" customHeight="1">
      <c r="F2053" s="14"/>
    </row>
    <row r="2054" ht="22.5" customHeight="1">
      <c r="F2054" s="14"/>
    </row>
    <row r="2055" ht="22.5" customHeight="1">
      <c r="F2055" s="14"/>
    </row>
    <row r="2056" ht="22.5" customHeight="1">
      <c r="F2056" s="14"/>
    </row>
    <row r="2057" ht="22.5" customHeight="1">
      <c r="F2057" s="14"/>
    </row>
    <row r="2058" ht="22.5" customHeight="1">
      <c r="F2058" s="14"/>
    </row>
    <row r="2059" ht="22.5" customHeight="1">
      <c r="F2059" s="14"/>
    </row>
    <row r="2060" ht="22.5" customHeight="1">
      <c r="F2060" s="14"/>
    </row>
    <row r="2061" ht="22.5" customHeight="1">
      <c r="F2061" s="14"/>
    </row>
    <row r="2062" ht="22.5" customHeight="1">
      <c r="F2062" s="14"/>
    </row>
    <row r="2063" ht="22.5" customHeight="1">
      <c r="F2063" s="14"/>
    </row>
    <row r="2064" ht="22.5" customHeight="1">
      <c r="F2064" s="14"/>
    </row>
    <row r="2065" ht="22.5" customHeight="1">
      <c r="F2065" s="14"/>
    </row>
    <row r="2066" ht="22.5" customHeight="1">
      <c r="F2066" s="14"/>
    </row>
    <row r="2067" ht="22.5" customHeight="1">
      <c r="F2067" s="14"/>
    </row>
    <row r="2068" ht="22.5" customHeight="1">
      <c r="F2068" s="14"/>
    </row>
    <row r="2069" ht="22.5" customHeight="1">
      <c r="F2069" s="14"/>
    </row>
    <row r="2070" ht="22.5" customHeight="1">
      <c r="F2070" s="14"/>
    </row>
    <row r="2071" ht="22.5" customHeight="1">
      <c r="F2071" s="14"/>
    </row>
    <row r="2072" ht="22.5" customHeight="1">
      <c r="F2072" s="14"/>
    </row>
    <row r="2073" ht="22.5" customHeight="1">
      <c r="F2073" s="14"/>
    </row>
    <row r="2074" ht="22.5" customHeight="1">
      <c r="F2074" s="14"/>
    </row>
    <row r="2075" ht="22.5" customHeight="1">
      <c r="F2075" s="14"/>
    </row>
    <row r="2076" ht="22.5" customHeight="1">
      <c r="F2076" s="14"/>
    </row>
    <row r="2077" ht="22.5" customHeight="1">
      <c r="F2077" s="14"/>
    </row>
    <row r="2078" ht="22.5" customHeight="1">
      <c r="F2078" s="14"/>
    </row>
    <row r="2079" ht="22.5" customHeight="1">
      <c r="F2079" s="14"/>
    </row>
    <row r="2080" ht="22.5" customHeight="1">
      <c r="F2080" s="14"/>
    </row>
    <row r="2081" ht="22.5" customHeight="1">
      <c r="F2081" s="14"/>
    </row>
    <row r="2082" ht="22.5" customHeight="1">
      <c r="F2082" s="14"/>
    </row>
    <row r="2083" ht="22.5" customHeight="1">
      <c r="F2083" s="14"/>
    </row>
    <row r="2084" ht="22.5" customHeight="1">
      <c r="F2084" s="14"/>
    </row>
    <row r="2085" ht="22.5" customHeight="1">
      <c r="F2085" s="14"/>
    </row>
    <row r="2086" ht="22.5" customHeight="1">
      <c r="F2086" s="14"/>
    </row>
    <row r="2087" ht="22.5" customHeight="1">
      <c r="F2087" s="14"/>
    </row>
    <row r="2088" ht="22.5" customHeight="1">
      <c r="F2088" s="14"/>
    </row>
    <row r="2089" ht="22.5" customHeight="1">
      <c r="F2089" s="14"/>
    </row>
    <row r="2090" ht="22.5" customHeight="1">
      <c r="F2090" s="14"/>
    </row>
    <row r="2091" ht="22.5" customHeight="1">
      <c r="F2091" s="14"/>
    </row>
    <row r="2092" ht="22.5" customHeight="1">
      <c r="F2092" s="14"/>
    </row>
    <row r="2093" ht="22.5" customHeight="1">
      <c r="F2093" s="14"/>
    </row>
    <row r="2094" ht="22.5" customHeight="1">
      <c r="F2094" s="14"/>
    </row>
    <row r="2095" ht="22.5" customHeight="1">
      <c r="F2095" s="14"/>
    </row>
    <row r="2096" ht="22.5" customHeight="1">
      <c r="F2096" s="14"/>
    </row>
    <row r="2097" ht="22.5" customHeight="1">
      <c r="F2097" s="14"/>
    </row>
    <row r="2098" ht="22.5" customHeight="1">
      <c r="F2098" s="14"/>
    </row>
    <row r="2099" ht="22.5" customHeight="1">
      <c r="F2099" s="14"/>
    </row>
    <row r="2100" ht="22.5" customHeight="1">
      <c r="F2100" s="14"/>
    </row>
    <row r="2101" ht="22.5" customHeight="1">
      <c r="F2101" s="14"/>
    </row>
    <row r="2102" ht="22.5" customHeight="1">
      <c r="F2102" s="14"/>
    </row>
    <row r="2103" ht="22.5" customHeight="1">
      <c r="F2103" s="14"/>
    </row>
    <row r="2104" ht="22.5" customHeight="1">
      <c r="F2104" s="14"/>
    </row>
    <row r="2105" ht="22.5" customHeight="1">
      <c r="F2105" s="14"/>
    </row>
    <row r="2106" ht="22.5" customHeight="1">
      <c r="F2106" s="14"/>
    </row>
    <row r="2107" ht="22.5" customHeight="1">
      <c r="F2107" s="14"/>
    </row>
    <row r="2108" ht="22.5" customHeight="1">
      <c r="F2108" s="14"/>
    </row>
    <row r="2109" ht="22.5" customHeight="1">
      <c r="F2109" s="14"/>
    </row>
    <row r="2110" ht="22.5" customHeight="1">
      <c r="F2110" s="14"/>
    </row>
    <row r="2111" ht="22.5" customHeight="1">
      <c r="F2111" s="14"/>
    </row>
    <row r="2112" ht="22.5" customHeight="1">
      <c r="F2112" s="14"/>
    </row>
    <row r="2113" ht="22.5" customHeight="1">
      <c r="F2113" s="14"/>
    </row>
    <row r="2114" ht="22.5" customHeight="1">
      <c r="F2114" s="14"/>
    </row>
    <row r="2115" ht="22.5" customHeight="1">
      <c r="F2115" s="14"/>
    </row>
    <row r="2116" ht="22.5" customHeight="1">
      <c r="F2116" s="14"/>
    </row>
    <row r="2117" ht="22.5" customHeight="1">
      <c r="F2117" s="14"/>
    </row>
    <row r="2118" ht="22.5" customHeight="1">
      <c r="F2118" s="14"/>
    </row>
    <row r="2119" ht="22.5" customHeight="1">
      <c r="F2119" s="14"/>
    </row>
    <row r="2120" ht="22.5" customHeight="1">
      <c r="F2120" s="14"/>
    </row>
    <row r="2121" ht="22.5" customHeight="1">
      <c r="F2121" s="14"/>
    </row>
    <row r="2122" ht="22.5" customHeight="1">
      <c r="F2122" s="14"/>
    </row>
    <row r="2123" ht="22.5" customHeight="1">
      <c r="F2123" s="14"/>
    </row>
    <row r="2124" ht="22.5" customHeight="1">
      <c r="F2124" s="14"/>
    </row>
    <row r="2125" ht="22.5" customHeight="1">
      <c r="F2125" s="14"/>
    </row>
    <row r="2126" ht="22.5" customHeight="1">
      <c r="F2126" s="14"/>
    </row>
    <row r="2127" ht="22.5" customHeight="1">
      <c r="F2127" s="14"/>
    </row>
    <row r="2128" ht="22.5" customHeight="1">
      <c r="F2128" s="14"/>
    </row>
    <row r="2129" ht="22.5" customHeight="1">
      <c r="F2129" s="14"/>
    </row>
    <row r="2130" ht="22.5" customHeight="1">
      <c r="F2130" s="14"/>
    </row>
    <row r="2131" ht="22.5" customHeight="1">
      <c r="F2131" s="14"/>
    </row>
    <row r="2132" ht="22.5" customHeight="1">
      <c r="F2132" s="14"/>
    </row>
    <row r="2133" ht="22.5" customHeight="1">
      <c r="F2133" s="14"/>
    </row>
    <row r="2134" ht="22.5" customHeight="1">
      <c r="F2134" s="14"/>
    </row>
    <row r="2135" ht="22.5" customHeight="1">
      <c r="F2135" s="14"/>
    </row>
    <row r="2136" ht="22.5" customHeight="1">
      <c r="F2136" s="14"/>
    </row>
    <row r="2137" ht="22.5" customHeight="1">
      <c r="F2137" s="14"/>
    </row>
    <row r="2138" ht="22.5" customHeight="1">
      <c r="F2138" s="14"/>
    </row>
    <row r="2139" ht="22.5" customHeight="1">
      <c r="F2139" s="14"/>
    </row>
    <row r="2140" ht="22.5" customHeight="1">
      <c r="F2140" s="14"/>
    </row>
    <row r="2141" ht="22.5" customHeight="1">
      <c r="F2141" s="14"/>
    </row>
    <row r="2142" ht="22.5" customHeight="1">
      <c r="F2142" s="14"/>
    </row>
    <row r="2143" ht="22.5" customHeight="1">
      <c r="F2143" s="14"/>
    </row>
    <row r="2144" ht="22.5" customHeight="1">
      <c r="F2144" s="14"/>
    </row>
    <row r="2145" ht="22.5" customHeight="1">
      <c r="F2145" s="14"/>
    </row>
    <row r="2146" ht="22.5" customHeight="1">
      <c r="F2146" s="14"/>
    </row>
    <row r="2147" ht="22.5" customHeight="1">
      <c r="F2147" s="14"/>
    </row>
    <row r="2148" ht="22.5" customHeight="1">
      <c r="F2148" s="14"/>
    </row>
    <row r="2149" ht="22.5" customHeight="1">
      <c r="F2149" s="14"/>
    </row>
    <row r="2150" ht="22.5" customHeight="1">
      <c r="F2150" s="14"/>
    </row>
    <row r="2151" ht="22.5" customHeight="1">
      <c r="F2151" s="14"/>
    </row>
    <row r="2152" ht="22.5" customHeight="1">
      <c r="F2152" s="14"/>
    </row>
    <row r="2153" ht="22.5" customHeight="1">
      <c r="F2153" s="14"/>
    </row>
    <row r="2154" ht="22.5" customHeight="1">
      <c r="F2154" s="14"/>
    </row>
    <row r="2155" ht="22.5" customHeight="1">
      <c r="F2155" s="14"/>
    </row>
    <row r="2156" ht="22.5" customHeight="1">
      <c r="F2156" s="14"/>
    </row>
    <row r="2157" ht="22.5" customHeight="1">
      <c r="F2157" s="14"/>
    </row>
    <row r="2158" ht="22.5" customHeight="1">
      <c r="F2158" s="14"/>
    </row>
    <row r="2159" ht="22.5" customHeight="1">
      <c r="F2159" s="14"/>
    </row>
    <row r="2160" ht="22.5" customHeight="1">
      <c r="F2160" s="14"/>
    </row>
    <row r="2161" ht="22.5" customHeight="1">
      <c r="F2161" s="14"/>
    </row>
    <row r="2162" ht="22.5" customHeight="1">
      <c r="F2162" s="14"/>
    </row>
    <row r="2163" ht="22.5" customHeight="1">
      <c r="F2163" s="14"/>
    </row>
    <row r="2164" ht="22.5" customHeight="1">
      <c r="F2164" s="14"/>
    </row>
    <row r="2165" ht="22.5" customHeight="1">
      <c r="F2165" s="14"/>
    </row>
    <row r="2166" ht="22.5" customHeight="1">
      <c r="F2166" s="14"/>
    </row>
    <row r="2167" ht="22.5" customHeight="1">
      <c r="F2167" s="14"/>
    </row>
    <row r="2168" ht="22.5" customHeight="1">
      <c r="F2168" s="14"/>
    </row>
    <row r="2169" ht="22.5" customHeight="1">
      <c r="F2169" s="14"/>
    </row>
    <row r="2170" ht="22.5" customHeight="1">
      <c r="F2170" s="14"/>
    </row>
    <row r="2171" ht="22.5" customHeight="1">
      <c r="F2171" s="14"/>
    </row>
    <row r="2172" ht="22.5" customHeight="1">
      <c r="F2172" s="14"/>
    </row>
    <row r="2173" ht="22.5" customHeight="1">
      <c r="F2173" s="14"/>
    </row>
    <row r="2174" ht="22.5" customHeight="1">
      <c r="F2174" s="14"/>
    </row>
    <row r="2175" ht="22.5" customHeight="1">
      <c r="F2175" s="14"/>
    </row>
    <row r="2176" ht="22.5" customHeight="1">
      <c r="F2176" s="14"/>
    </row>
    <row r="2177" ht="22.5" customHeight="1">
      <c r="F2177" s="14"/>
    </row>
    <row r="2178" ht="22.5" customHeight="1">
      <c r="F2178" s="14"/>
    </row>
    <row r="2179" ht="22.5" customHeight="1">
      <c r="F2179" s="14"/>
    </row>
    <row r="2180" ht="22.5" customHeight="1">
      <c r="F2180" s="14"/>
    </row>
    <row r="2181" ht="22.5" customHeight="1">
      <c r="F2181" s="14"/>
    </row>
    <row r="2182" ht="22.5" customHeight="1">
      <c r="F2182" s="14"/>
    </row>
    <row r="2183" ht="22.5" customHeight="1">
      <c r="F2183" s="14"/>
    </row>
    <row r="2184" ht="22.5" customHeight="1">
      <c r="F2184" s="14"/>
    </row>
    <row r="2185" ht="22.5" customHeight="1">
      <c r="F2185" s="14"/>
    </row>
    <row r="2186" ht="22.5" customHeight="1">
      <c r="F2186" s="14"/>
    </row>
    <row r="2187" ht="22.5" customHeight="1">
      <c r="F2187" s="14"/>
    </row>
    <row r="2188" ht="22.5" customHeight="1">
      <c r="F2188" s="14"/>
    </row>
    <row r="2189" ht="22.5" customHeight="1">
      <c r="F2189" s="14"/>
    </row>
    <row r="2190" ht="22.5" customHeight="1">
      <c r="F2190" s="14"/>
    </row>
    <row r="2191" ht="22.5" customHeight="1">
      <c r="F2191" s="14"/>
    </row>
    <row r="2192" ht="22.5" customHeight="1">
      <c r="F2192" s="14"/>
    </row>
    <row r="2193" ht="22.5" customHeight="1">
      <c r="F2193" s="14"/>
    </row>
    <row r="2194" ht="22.5" customHeight="1">
      <c r="F2194" s="14"/>
    </row>
    <row r="2195" ht="22.5" customHeight="1">
      <c r="F2195" s="14"/>
    </row>
    <row r="2196" ht="22.5" customHeight="1">
      <c r="F2196" s="14"/>
    </row>
    <row r="2197" ht="22.5" customHeight="1">
      <c r="F2197" s="14"/>
    </row>
    <row r="2198" ht="22.5" customHeight="1">
      <c r="F2198" s="14"/>
    </row>
    <row r="2199" ht="22.5" customHeight="1">
      <c r="F2199" s="14"/>
    </row>
    <row r="2200" ht="22.5" customHeight="1">
      <c r="F2200" s="14"/>
    </row>
    <row r="2201" ht="22.5" customHeight="1">
      <c r="F2201" s="14"/>
    </row>
    <row r="2202" ht="22.5" customHeight="1">
      <c r="F2202" s="14"/>
    </row>
    <row r="2203" ht="22.5" customHeight="1">
      <c r="F2203" s="14"/>
    </row>
    <row r="2204" ht="22.5" customHeight="1">
      <c r="F2204" s="14"/>
    </row>
    <row r="2205" ht="22.5" customHeight="1">
      <c r="F2205" s="14"/>
    </row>
    <row r="2206" ht="22.5" customHeight="1">
      <c r="F2206" s="14"/>
    </row>
    <row r="2207" ht="22.5" customHeight="1">
      <c r="F2207" s="14"/>
    </row>
    <row r="2208" ht="22.5" customHeight="1">
      <c r="F2208" s="14"/>
    </row>
    <row r="2209" ht="22.5" customHeight="1">
      <c r="F2209" s="14"/>
    </row>
    <row r="2210" ht="22.5" customHeight="1">
      <c r="F2210" s="14"/>
    </row>
    <row r="2211" ht="22.5" customHeight="1">
      <c r="F2211" s="14"/>
    </row>
    <row r="2212" ht="22.5" customHeight="1">
      <c r="F2212" s="14"/>
    </row>
    <row r="2213" ht="22.5" customHeight="1">
      <c r="F2213" s="14"/>
    </row>
    <row r="2214" ht="22.5" customHeight="1">
      <c r="F2214" s="14"/>
    </row>
    <row r="2215" ht="22.5" customHeight="1">
      <c r="F2215" s="14"/>
    </row>
    <row r="2216" ht="22.5" customHeight="1">
      <c r="F2216" s="14"/>
    </row>
    <row r="2217" ht="22.5" customHeight="1">
      <c r="F2217" s="14"/>
    </row>
    <row r="2218" ht="22.5" customHeight="1">
      <c r="F2218" s="14"/>
    </row>
    <row r="2219" ht="22.5" customHeight="1">
      <c r="F2219" s="14"/>
    </row>
    <row r="2220" ht="22.5" customHeight="1">
      <c r="F2220" s="14"/>
    </row>
    <row r="2221" ht="22.5" customHeight="1">
      <c r="F2221" s="14"/>
    </row>
    <row r="2222" ht="22.5" customHeight="1">
      <c r="F2222" s="14"/>
    </row>
    <row r="2223" ht="22.5" customHeight="1">
      <c r="F2223" s="14"/>
    </row>
    <row r="2224" ht="22.5" customHeight="1">
      <c r="F2224" s="14"/>
    </row>
    <row r="2225" ht="22.5" customHeight="1">
      <c r="F2225" s="14"/>
    </row>
    <row r="2226" ht="22.5" customHeight="1">
      <c r="F2226" s="14"/>
    </row>
    <row r="2227" ht="22.5" customHeight="1">
      <c r="F2227" s="14"/>
    </row>
    <row r="2228" ht="22.5" customHeight="1">
      <c r="F2228" s="14"/>
    </row>
    <row r="2229" ht="22.5" customHeight="1">
      <c r="F2229" s="14"/>
    </row>
    <row r="2230" ht="22.5" customHeight="1">
      <c r="F2230" s="14"/>
    </row>
    <row r="2231" ht="22.5" customHeight="1">
      <c r="F2231" s="14"/>
    </row>
    <row r="2232" ht="22.5" customHeight="1">
      <c r="F2232" s="14"/>
    </row>
    <row r="2233" ht="22.5" customHeight="1">
      <c r="F2233" s="14"/>
    </row>
    <row r="2234" ht="22.5" customHeight="1">
      <c r="F2234" s="14"/>
    </row>
    <row r="2235" ht="22.5" customHeight="1">
      <c r="F2235" s="14"/>
    </row>
    <row r="2236" ht="22.5" customHeight="1">
      <c r="F2236" s="14"/>
    </row>
    <row r="2237" ht="22.5" customHeight="1">
      <c r="F2237" s="14"/>
    </row>
    <row r="2238" ht="22.5" customHeight="1">
      <c r="F2238" s="14"/>
    </row>
    <row r="2239" ht="22.5" customHeight="1">
      <c r="F2239" s="14"/>
    </row>
    <row r="2240" ht="22.5" customHeight="1">
      <c r="F2240" s="14"/>
    </row>
    <row r="2241" ht="22.5" customHeight="1">
      <c r="F2241" s="14"/>
    </row>
    <row r="2242" ht="22.5" customHeight="1">
      <c r="F2242" s="14"/>
    </row>
    <row r="2243" ht="22.5" customHeight="1">
      <c r="F2243" s="14"/>
    </row>
    <row r="2244" ht="22.5" customHeight="1">
      <c r="F2244" s="14"/>
    </row>
    <row r="2245" ht="22.5" customHeight="1">
      <c r="F2245" s="14"/>
    </row>
    <row r="2246" ht="22.5" customHeight="1">
      <c r="F2246" s="14"/>
    </row>
    <row r="2247" ht="22.5" customHeight="1">
      <c r="F2247" s="14"/>
    </row>
    <row r="2248" ht="22.5" customHeight="1">
      <c r="F2248" s="14"/>
    </row>
    <row r="2249" ht="22.5" customHeight="1">
      <c r="F2249" s="14"/>
    </row>
    <row r="2250" ht="22.5" customHeight="1">
      <c r="F2250" s="14"/>
    </row>
    <row r="2251" ht="22.5" customHeight="1">
      <c r="F2251" s="14"/>
    </row>
    <row r="2252" ht="22.5" customHeight="1">
      <c r="F2252" s="14"/>
    </row>
    <row r="2253" ht="22.5" customHeight="1">
      <c r="F2253" s="14"/>
    </row>
    <row r="2254" ht="22.5" customHeight="1">
      <c r="F2254" s="14"/>
    </row>
    <row r="2255" ht="22.5" customHeight="1">
      <c r="F2255" s="14"/>
    </row>
    <row r="2256" ht="22.5" customHeight="1">
      <c r="F2256" s="14"/>
    </row>
    <row r="2257" ht="22.5" customHeight="1">
      <c r="F2257" s="14"/>
    </row>
    <row r="2258" ht="22.5" customHeight="1">
      <c r="F2258" s="14"/>
    </row>
    <row r="2259" ht="22.5" customHeight="1">
      <c r="F2259" s="14"/>
    </row>
    <row r="2260" ht="22.5" customHeight="1">
      <c r="F2260" s="14"/>
    </row>
    <row r="2261" ht="22.5" customHeight="1">
      <c r="F2261" s="14"/>
    </row>
    <row r="2262" ht="22.5" customHeight="1">
      <c r="F2262" s="14"/>
    </row>
    <row r="2263" ht="22.5" customHeight="1">
      <c r="F2263" s="14"/>
    </row>
    <row r="2264" ht="22.5" customHeight="1">
      <c r="F2264" s="14"/>
    </row>
    <row r="2265" ht="22.5" customHeight="1">
      <c r="F2265" s="14"/>
    </row>
    <row r="2266" ht="22.5" customHeight="1">
      <c r="F2266" s="14"/>
    </row>
    <row r="2267" ht="22.5" customHeight="1">
      <c r="F2267" s="14"/>
    </row>
    <row r="2268" ht="22.5" customHeight="1">
      <c r="F2268" s="14"/>
    </row>
    <row r="2269" ht="22.5" customHeight="1">
      <c r="F2269" s="14"/>
    </row>
    <row r="2270" ht="22.5" customHeight="1">
      <c r="F2270" s="14"/>
    </row>
    <row r="2271" ht="22.5" customHeight="1">
      <c r="F2271" s="14"/>
    </row>
    <row r="2272" ht="22.5" customHeight="1">
      <c r="F2272" s="14"/>
    </row>
    <row r="2273" ht="22.5" customHeight="1">
      <c r="F2273" s="14"/>
    </row>
    <row r="2274" ht="22.5" customHeight="1">
      <c r="F2274" s="14"/>
    </row>
    <row r="2275" ht="22.5" customHeight="1">
      <c r="F2275" s="14"/>
    </row>
    <row r="2276" ht="22.5" customHeight="1">
      <c r="F2276" s="14"/>
    </row>
    <row r="2277" ht="22.5" customHeight="1">
      <c r="F2277" s="14"/>
    </row>
    <row r="2278" ht="22.5" customHeight="1">
      <c r="F2278" s="14"/>
    </row>
    <row r="2279" ht="22.5" customHeight="1">
      <c r="F2279" s="14"/>
    </row>
    <row r="2280" ht="22.5" customHeight="1">
      <c r="F2280" s="14"/>
    </row>
    <row r="2281" ht="22.5" customHeight="1">
      <c r="F2281" s="14"/>
    </row>
    <row r="2282" ht="22.5" customHeight="1">
      <c r="F2282" s="14"/>
    </row>
    <row r="2283" ht="22.5" customHeight="1">
      <c r="F2283" s="14"/>
    </row>
    <row r="2284" ht="22.5" customHeight="1">
      <c r="F2284" s="14"/>
    </row>
    <row r="2285" ht="22.5" customHeight="1">
      <c r="F2285" s="14"/>
    </row>
    <row r="2286" ht="22.5" customHeight="1">
      <c r="F2286" s="14"/>
    </row>
    <row r="2287" ht="22.5" customHeight="1">
      <c r="F2287" s="14"/>
    </row>
    <row r="2288" ht="22.5" customHeight="1">
      <c r="F2288" s="14"/>
    </row>
    <row r="2289" ht="22.5" customHeight="1">
      <c r="F2289" s="14"/>
    </row>
    <row r="2290" ht="22.5" customHeight="1">
      <c r="F2290" s="14"/>
    </row>
    <row r="2291" ht="22.5" customHeight="1">
      <c r="F2291" s="14"/>
    </row>
    <row r="2292" ht="22.5" customHeight="1">
      <c r="F2292" s="14"/>
    </row>
    <row r="2293" ht="22.5" customHeight="1">
      <c r="F2293" s="14"/>
    </row>
    <row r="2294" ht="22.5" customHeight="1">
      <c r="F2294" s="14"/>
    </row>
    <row r="2295" ht="22.5" customHeight="1">
      <c r="F2295" s="14"/>
    </row>
    <row r="2296" ht="22.5" customHeight="1">
      <c r="F2296" s="14"/>
    </row>
    <row r="2297" ht="22.5" customHeight="1">
      <c r="F2297" s="14"/>
    </row>
    <row r="2298" ht="22.5" customHeight="1">
      <c r="F2298" s="14"/>
    </row>
    <row r="2299" ht="22.5" customHeight="1">
      <c r="F2299" s="14"/>
    </row>
    <row r="2300" ht="22.5" customHeight="1">
      <c r="F2300" s="14"/>
    </row>
    <row r="2301" ht="22.5" customHeight="1">
      <c r="F2301" s="14"/>
    </row>
    <row r="2302" ht="22.5" customHeight="1">
      <c r="F2302" s="14"/>
    </row>
    <row r="2303" ht="22.5" customHeight="1">
      <c r="F2303" s="14"/>
    </row>
    <row r="2304" ht="22.5" customHeight="1">
      <c r="F2304" s="14"/>
    </row>
    <row r="2305" ht="22.5" customHeight="1">
      <c r="F2305" s="14"/>
    </row>
    <row r="2306" ht="22.5" customHeight="1">
      <c r="F2306" s="14"/>
    </row>
    <row r="2307" ht="22.5" customHeight="1">
      <c r="F2307" s="14"/>
    </row>
    <row r="2308" ht="22.5" customHeight="1">
      <c r="F2308" s="14"/>
    </row>
    <row r="2309" ht="22.5" customHeight="1">
      <c r="F2309" s="14"/>
    </row>
    <row r="2310" ht="22.5" customHeight="1">
      <c r="F2310" s="14"/>
    </row>
    <row r="2311" ht="22.5" customHeight="1">
      <c r="F2311" s="14"/>
    </row>
    <row r="2312" ht="22.5" customHeight="1">
      <c r="F2312" s="14"/>
    </row>
    <row r="2313" ht="22.5" customHeight="1">
      <c r="F2313" s="14"/>
    </row>
    <row r="2314" ht="22.5" customHeight="1">
      <c r="F2314" s="14"/>
    </row>
    <row r="2315" ht="22.5" customHeight="1">
      <c r="F2315" s="14"/>
    </row>
    <row r="2316" ht="22.5" customHeight="1">
      <c r="F2316" s="14"/>
    </row>
    <row r="2317" ht="22.5" customHeight="1">
      <c r="F2317" s="14"/>
    </row>
    <row r="2318" ht="22.5" customHeight="1">
      <c r="F2318" s="14"/>
    </row>
    <row r="2319" ht="22.5" customHeight="1">
      <c r="F2319" s="14"/>
    </row>
    <row r="2320" ht="22.5" customHeight="1">
      <c r="F2320" s="14"/>
    </row>
    <row r="2321" ht="22.5" customHeight="1">
      <c r="F2321" s="14"/>
    </row>
    <row r="2322" ht="22.5" customHeight="1">
      <c r="F2322" s="14"/>
    </row>
    <row r="2323" ht="22.5" customHeight="1">
      <c r="F2323" s="14"/>
    </row>
    <row r="2324" ht="22.5" customHeight="1">
      <c r="F2324" s="14"/>
    </row>
    <row r="2325" ht="22.5" customHeight="1">
      <c r="F2325" s="14"/>
    </row>
    <row r="2326" ht="22.5" customHeight="1">
      <c r="F2326" s="14"/>
    </row>
    <row r="2327" ht="22.5" customHeight="1">
      <c r="F2327" s="14"/>
    </row>
    <row r="2328" ht="22.5" customHeight="1">
      <c r="F2328" s="14"/>
    </row>
    <row r="2329" ht="22.5" customHeight="1">
      <c r="F2329" s="14"/>
    </row>
    <row r="2330" ht="22.5" customHeight="1">
      <c r="F2330" s="14"/>
    </row>
    <row r="2331" ht="22.5" customHeight="1">
      <c r="F2331" s="14"/>
    </row>
    <row r="2332" ht="22.5" customHeight="1">
      <c r="F2332" s="14"/>
    </row>
    <row r="2333" ht="22.5" customHeight="1">
      <c r="F2333" s="14"/>
    </row>
    <row r="2334" ht="22.5" customHeight="1">
      <c r="F2334" s="14"/>
    </row>
    <row r="2335" ht="22.5" customHeight="1">
      <c r="F2335" s="14"/>
    </row>
    <row r="2336" ht="22.5" customHeight="1">
      <c r="F2336" s="14"/>
    </row>
    <row r="2337" ht="22.5" customHeight="1">
      <c r="F2337" s="14"/>
    </row>
    <row r="2338" ht="22.5" customHeight="1">
      <c r="F2338" s="14"/>
    </row>
    <row r="2339" ht="22.5" customHeight="1">
      <c r="F2339" s="14"/>
    </row>
    <row r="2340" ht="22.5" customHeight="1">
      <c r="F2340" s="14"/>
    </row>
    <row r="2341" ht="22.5" customHeight="1">
      <c r="F2341" s="14"/>
    </row>
    <row r="2342" ht="22.5" customHeight="1">
      <c r="F2342" s="14"/>
    </row>
    <row r="2343" ht="22.5" customHeight="1">
      <c r="F2343" s="14"/>
    </row>
    <row r="2344" ht="22.5" customHeight="1">
      <c r="F2344" s="14"/>
    </row>
    <row r="2345" ht="22.5" customHeight="1">
      <c r="F2345" s="14"/>
    </row>
    <row r="2346" ht="22.5" customHeight="1">
      <c r="F2346" s="14"/>
    </row>
    <row r="2347" ht="22.5" customHeight="1">
      <c r="F2347" s="14"/>
    </row>
    <row r="2348" ht="22.5" customHeight="1">
      <c r="F2348" s="14"/>
    </row>
    <row r="2349" ht="22.5" customHeight="1">
      <c r="F2349" s="14"/>
    </row>
    <row r="2350" ht="22.5" customHeight="1">
      <c r="F2350" s="14"/>
    </row>
    <row r="2351" ht="22.5" customHeight="1">
      <c r="F2351" s="14"/>
    </row>
    <row r="2352" ht="22.5" customHeight="1">
      <c r="F2352" s="14"/>
    </row>
    <row r="2353" ht="22.5" customHeight="1">
      <c r="F2353" s="14"/>
    </row>
    <row r="2354" ht="22.5" customHeight="1">
      <c r="F2354" s="14"/>
    </row>
    <row r="2355" ht="22.5" customHeight="1">
      <c r="F2355" s="14"/>
    </row>
    <row r="2356" ht="22.5" customHeight="1">
      <c r="F2356" s="14"/>
    </row>
    <row r="2357" ht="22.5" customHeight="1">
      <c r="F2357" s="14"/>
    </row>
    <row r="2358" ht="22.5" customHeight="1">
      <c r="F2358" s="14"/>
    </row>
    <row r="2359" ht="22.5" customHeight="1">
      <c r="F2359" s="14"/>
    </row>
    <row r="2360" ht="22.5" customHeight="1">
      <c r="F2360" s="14"/>
    </row>
    <row r="2361" ht="22.5" customHeight="1">
      <c r="F2361" s="14"/>
    </row>
    <row r="2362" ht="22.5" customHeight="1">
      <c r="F2362" s="14"/>
    </row>
    <row r="2363" ht="22.5" customHeight="1">
      <c r="F2363" s="14"/>
    </row>
    <row r="2364" ht="22.5" customHeight="1">
      <c r="F2364" s="14"/>
    </row>
    <row r="2365" ht="22.5" customHeight="1">
      <c r="F2365" s="14"/>
    </row>
    <row r="2366" ht="22.5" customHeight="1">
      <c r="F2366" s="14"/>
    </row>
    <row r="2367" ht="22.5" customHeight="1">
      <c r="F2367" s="14"/>
    </row>
    <row r="2368" ht="22.5" customHeight="1">
      <c r="F2368" s="14"/>
    </row>
    <row r="2369" ht="22.5" customHeight="1">
      <c r="F2369" s="14"/>
    </row>
    <row r="2370" ht="22.5" customHeight="1">
      <c r="F2370" s="14"/>
    </row>
    <row r="2371" ht="22.5" customHeight="1">
      <c r="F2371" s="14"/>
    </row>
    <row r="2372" ht="22.5" customHeight="1">
      <c r="F2372" s="14"/>
    </row>
    <row r="2373" ht="22.5" customHeight="1">
      <c r="F2373" s="14"/>
    </row>
    <row r="2374" ht="22.5" customHeight="1">
      <c r="F2374" s="14"/>
    </row>
    <row r="2375" ht="22.5" customHeight="1">
      <c r="F2375" s="14"/>
    </row>
    <row r="2376" ht="22.5" customHeight="1">
      <c r="F2376" s="14"/>
    </row>
    <row r="2377" ht="22.5" customHeight="1">
      <c r="F2377" s="14"/>
    </row>
    <row r="2378" ht="22.5" customHeight="1">
      <c r="F2378" s="14"/>
    </row>
    <row r="2379" ht="22.5" customHeight="1">
      <c r="F2379" s="14"/>
    </row>
    <row r="2380" ht="22.5" customHeight="1">
      <c r="F2380" s="14"/>
    </row>
    <row r="2381" ht="22.5" customHeight="1">
      <c r="F2381" s="14"/>
    </row>
    <row r="2382" ht="22.5" customHeight="1">
      <c r="F2382" s="14"/>
    </row>
    <row r="2383" ht="22.5" customHeight="1">
      <c r="F2383" s="14"/>
    </row>
    <row r="2384" ht="22.5" customHeight="1">
      <c r="F2384" s="14"/>
    </row>
    <row r="2385" ht="22.5" customHeight="1">
      <c r="F2385" s="14"/>
    </row>
    <row r="2386" ht="22.5" customHeight="1">
      <c r="F2386" s="14"/>
    </row>
    <row r="2387" ht="22.5" customHeight="1">
      <c r="F2387" s="14"/>
    </row>
    <row r="2388" ht="22.5" customHeight="1">
      <c r="F2388" s="14"/>
    </row>
    <row r="2389" ht="22.5" customHeight="1">
      <c r="F2389" s="14"/>
    </row>
    <row r="2390" ht="22.5" customHeight="1">
      <c r="F2390" s="14"/>
    </row>
    <row r="2391" ht="22.5" customHeight="1">
      <c r="F2391" s="14"/>
    </row>
    <row r="2392" ht="22.5" customHeight="1">
      <c r="F2392" s="14"/>
    </row>
    <row r="2393" ht="22.5" customHeight="1">
      <c r="F2393" s="14"/>
    </row>
    <row r="2394" ht="22.5" customHeight="1">
      <c r="F2394" s="14"/>
    </row>
    <row r="2395" ht="22.5" customHeight="1">
      <c r="F2395" s="14"/>
    </row>
    <row r="2396" ht="22.5" customHeight="1">
      <c r="F2396" s="14"/>
    </row>
    <row r="2397" ht="22.5" customHeight="1">
      <c r="F2397" s="14"/>
    </row>
    <row r="2398" ht="22.5" customHeight="1">
      <c r="F2398" s="14"/>
    </row>
    <row r="2399" ht="22.5" customHeight="1">
      <c r="F2399" s="14"/>
    </row>
    <row r="2400" ht="22.5" customHeight="1">
      <c r="F2400" s="14"/>
    </row>
    <row r="2401" ht="22.5" customHeight="1">
      <c r="F2401" s="14"/>
    </row>
    <row r="2402" ht="22.5" customHeight="1">
      <c r="F2402" s="14"/>
    </row>
    <row r="2403" ht="22.5" customHeight="1">
      <c r="F2403" s="14"/>
    </row>
    <row r="2404" ht="22.5" customHeight="1">
      <c r="F2404" s="14"/>
    </row>
    <row r="2405" ht="22.5" customHeight="1">
      <c r="F2405" s="14"/>
    </row>
    <row r="2406" ht="22.5" customHeight="1">
      <c r="F2406" s="14"/>
    </row>
    <row r="2407" ht="22.5" customHeight="1">
      <c r="F2407" s="14"/>
    </row>
    <row r="2408" ht="22.5" customHeight="1">
      <c r="F2408" s="14"/>
    </row>
    <row r="2409" ht="22.5" customHeight="1">
      <c r="F2409" s="14"/>
    </row>
    <row r="2410" ht="22.5" customHeight="1">
      <c r="F2410" s="14"/>
    </row>
    <row r="2411" ht="22.5" customHeight="1">
      <c r="F2411" s="14"/>
    </row>
    <row r="2412" ht="22.5" customHeight="1">
      <c r="F2412" s="14"/>
    </row>
    <row r="2413" ht="22.5" customHeight="1">
      <c r="F2413" s="14"/>
    </row>
    <row r="2414" ht="22.5" customHeight="1">
      <c r="F2414" s="14"/>
    </row>
    <row r="2415" ht="22.5" customHeight="1">
      <c r="F2415" s="14"/>
    </row>
    <row r="2416" ht="22.5" customHeight="1">
      <c r="F2416" s="14"/>
    </row>
    <row r="2417" ht="22.5" customHeight="1">
      <c r="F2417" s="14"/>
    </row>
    <row r="2418" ht="22.5" customHeight="1">
      <c r="F2418" s="14"/>
    </row>
    <row r="2419" ht="22.5" customHeight="1">
      <c r="F2419" s="14"/>
    </row>
    <row r="2420" ht="22.5" customHeight="1">
      <c r="F2420" s="14"/>
    </row>
    <row r="2421" ht="22.5" customHeight="1">
      <c r="F2421" s="14"/>
    </row>
    <row r="2422" ht="22.5" customHeight="1">
      <c r="F2422" s="14"/>
    </row>
    <row r="2423" ht="22.5" customHeight="1">
      <c r="F2423" s="14"/>
    </row>
    <row r="2424" ht="22.5" customHeight="1">
      <c r="F2424" s="14"/>
    </row>
    <row r="2425" ht="22.5" customHeight="1">
      <c r="F2425" s="14"/>
    </row>
    <row r="2426" ht="22.5" customHeight="1">
      <c r="F2426" s="14"/>
    </row>
    <row r="2427" ht="22.5" customHeight="1">
      <c r="F2427" s="14"/>
    </row>
    <row r="2428" ht="22.5" customHeight="1">
      <c r="F2428" s="14"/>
    </row>
    <row r="2429" ht="22.5" customHeight="1">
      <c r="F2429" s="14"/>
    </row>
    <row r="2430" ht="22.5" customHeight="1">
      <c r="F2430" s="14"/>
    </row>
    <row r="2431" ht="22.5" customHeight="1">
      <c r="F2431" s="14"/>
    </row>
    <row r="2432" ht="22.5" customHeight="1">
      <c r="F2432" s="14"/>
    </row>
    <row r="2433" ht="22.5" customHeight="1">
      <c r="F2433" s="14"/>
    </row>
    <row r="2434" ht="22.5" customHeight="1">
      <c r="F2434" s="14"/>
    </row>
    <row r="2435" ht="22.5" customHeight="1">
      <c r="F2435" s="14"/>
    </row>
    <row r="2436" ht="22.5" customHeight="1">
      <c r="F2436" s="14"/>
    </row>
    <row r="2437" ht="22.5" customHeight="1">
      <c r="F2437" s="14"/>
    </row>
    <row r="2438" ht="22.5" customHeight="1">
      <c r="F2438" s="14"/>
    </row>
    <row r="2439" ht="22.5" customHeight="1">
      <c r="F2439" s="14"/>
    </row>
    <row r="2440" ht="22.5" customHeight="1">
      <c r="F2440" s="14"/>
    </row>
    <row r="2441" ht="22.5" customHeight="1">
      <c r="F2441" s="14"/>
    </row>
    <row r="2442" ht="22.5" customHeight="1">
      <c r="F2442" s="14"/>
    </row>
    <row r="2443" ht="22.5" customHeight="1">
      <c r="F2443" s="14"/>
    </row>
    <row r="2444" ht="22.5" customHeight="1">
      <c r="F2444" s="14"/>
    </row>
    <row r="2445" ht="22.5" customHeight="1">
      <c r="F2445" s="14"/>
    </row>
    <row r="2446" ht="22.5" customHeight="1">
      <c r="F2446" s="14"/>
    </row>
    <row r="2447" ht="22.5" customHeight="1">
      <c r="F2447" s="14"/>
    </row>
    <row r="2448" ht="22.5" customHeight="1">
      <c r="F2448" s="14"/>
    </row>
    <row r="2449" ht="22.5" customHeight="1">
      <c r="F2449" s="14"/>
    </row>
    <row r="2450" ht="22.5" customHeight="1">
      <c r="F2450" s="14"/>
    </row>
    <row r="2451" ht="22.5" customHeight="1">
      <c r="F2451" s="14"/>
    </row>
    <row r="2452" ht="22.5" customHeight="1">
      <c r="F2452" s="14"/>
    </row>
    <row r="2453" ht="22.5" customHeight="1">
      <c r="F2453" s="14"/>
    </row>
    <row r="2454" ht="22.5" customHeight="1">
      <c r="F2454" s="14"/>
    </row>
    <row r="2455" ht="22.5" customHeight="1">
      <c r="F2455" s="14"/>
    </row>
    <row r="2456" ht="22.5" customHeight="1">
      <c r="F2456" s="14"/>
    </row>
    <row r="2457" ht="22.5" customHeight="1">
      <c r="F2457" s="14"/>
    </row>
    <row r="2458" ht="22.5" customHeight="1">
      <c r="F2458" s="14"/>
    </row>
    <row r="2459" ht="22.5" customHeight="1">
      <c r="F2459" s="14"/>
    </row>
    <row r="2460" ht="22.5" customHeight="1">
      <c r="F2460" s="14"/>
    </row>
    <row r="2461" ht="22.5" customHeight="1">
      <c r="F2461" s="14"/>
    </row>
    <row r="2462" ht="22.5" customHeight="1">
      <c r="F2462" s="14"/>
    </row>
    <row r="2463" ht="22.5" customHeight="1">
      <c r="F2463" s="14"/>
    </row>
    <row r="2464" ht="22.5" customHeight="1">
      <c r="F2464" s="14"/>
    </row>
    <row r="2465" ht="22.5" customHeight="1">
      <c r="F2465" s="14"/>
    </row>
    <row r="2466" ht="22.5" customHeight="1">
      <c r="F2466" s="14"/>
    </row>
    <row r="2467" ht="22.5" customHeight="1">
      <c r="F2467" s="14"/>
    </row>
    <row r="2468" ht="22.5" customHeight="1">
      <c r="F2468" s="14"/>
    </row>
    <row r="2469" ht="22.5" customHeight="1">
      <c r="F2469" s="14"/>
    </row>
    <row r="2470" ht="22.5" customHeight="1">
      <c r="F2470" s="14"/>
    </row>
    <row r="2471" ht="22.5" customHeight="1">
      <c r="F2471" s="14"/>
    </row>
    <row r="2472" ht="22.5" customHeight="1">
      <c r="F2472" s="14"/>
    </row>
    <row r="2473" ht="22.5" customHeight="1">
      <c r="F2473" s="14"/>
    </row>
    <row r="2474" ht="22.5" customHeight="1">
      <c r="F2474" s="14"/>
    </row>
    <row r="2475" ht="22.5" customHeight="1">
      <c r="F2475" s="14"/>
    </row>
    <row r="2476" ht="22.5" customHeight="1">
      <c r="F2476" s="14"/>
    </row>
    <row r="2477" ht="22.5" customHeight="1">
      <c r="F2477" s="14"/>
    </row>
    <row r="2478" ht="22.5" customHeight="1">
      <c r="F2478" s="14"/>
    </row>
    <row r="2479" ht="22.5" customHeight="1">
      <c r="F2479" s="14"/>
    </row>
    <row r="2480" ht="22.5" customHeight="1">
      <c r="F2480" s="14"/>
    </row>
    <row r="2481" ht="22.5" customHeight="1">
      <c r="F2481" s="14"/>
    </row>
    <row r="2482" ht="22.5" customHeight="1">
      <c r="F2482" s="14"/>
    </row>
    <row r="2483" ht="22.5" customHeight="1">
      <c r="F2483" s="14"/>
    </row>
    <row r="2484" ht="22.5" customHeight="1">
      <c r="F2484" s="14"/>
    </row>
    <row r="2485" ht="22.5" customHeight="1">
      <c r="F2485" s="14"/>
    </row>
    <row r="2486" ht="22.5" customHeight="1">
      <c r="F2486" s="14"/>
    </row>
    <row r="2487" ht="22.5" customHeight="1">
      <c r="F2487" s="14"/>
    </row>
    <row r="2488" ht="22.5" customHeight="1">
      <c r="F2488" s="14"/>
    </row>
    <row r="2489" ht="22.5" customHeight="1">
      <c r="F2489" s="14"/>
    </row>
    <row r="2490" ht="22.5" customHeight="1">
      <c r="F2490" s="14"/>
    </row>
    <row r="2491" ht="22.5" customHeight="1">
      <c r="F2491" s="14"/>
    </row>
    <row r="2492" ht="22.5" customHeight="1">
      <c r="F2492" s="14"/>
    </row>
    <row r="2493" ht="22.5" customHeight="1">
      <c r="F2493" s="14"/>
    </row>
    <row r="2494" ht="22.5" customHeight="1">
      <c r="F2494" s="14"/>
    </row>
    <row r="2495" ht="22.5" customHeight="1">
      <c r="F2495" s="14"/>
    </row>
    <row r="2496" ht="22.5" customHeight="1">
      <c r="F2496" s="14"/>
    </row>
    <row r="2497" ht="22.5" customHeight="1">
      <c r="F2497" s="14"/>
    </row>
    <row r="2498" ht="22.5" customHeight="1">
      <c r="F2498" s="14"/>
    </row>
    <row r="2499" ht="22.5" customHeight="1">
      <c r="F2499" s="14"/>
    </row>
    <row r="2500" ht="22.5" customHeight="1">
      <c r="F2500" s="14"/>
    </row>
    <row r="2501" ht="22.5" customHeight="1">
      <c r="F2501" s="14"/>
    </row>
    <row r="2502" ht="22.5" customHeight="1">
      <c r="F2502" s="14"/>
    </row>
    <row r="2503" ht="22.5" customHeight="1">
      <c r="F2503" s="14"/>
    </row>
    <row r="2504" ht="22.5" customHeight="1">
      <c r="F2504" s="14"/>
    </row>
    <row r="2505" ht="22.5" customHeight="1">
      <c r="F2505" s="14"/>
    </row>
    <row r="2506" ht="22.5" customHeight="1">
      <c r="F2506" s="14"/>
    </row>
    <row r="2507" ht="22.5" customHeight="1">
      <c r="F2507" s="14"/>
    </row>
    <row r="2508" ht="22.5" customHeight="1">
      <c r="F2508" s="14"/>
    </row>
    <row r="2509" ht="22.5" customHeight="1">
      <c r="F2509" s="14"/>
    </row>
    <row r="2510" ht="22.5" customHeight="1">
      <c r="F2510" s="14"/>
    </row>
    <row r="2511" ht="22.5" customHeight="1">
      <c r="F2511" s="14"/>
    </row>
    <row r="2512" ht="22.5" customHeight="1">
      <c r="F2512" s="14"/>
    </row>
    <row r="2513" ht="22.5" customHeight="1">
      <c r="F2513" s="14"/>
    </row>
    <row r="2514" ht="22.5" customHeight="1">
      <c r="F2514" s="14"/>
    </row>
    <row r="2515" ht="22.5" customHeight="1">
      <c r="F2515" s="14"/>
    </row>
    <row r="2516" ht="22.5" customHeight="1">
      <c r="F2516" s="14"/>
    </row>
    <row r="2517" ht="22.5" customHeight="1">
      <c r="F2517" s="14"/>
    </row>
    <row r="2518" ht="22.5" customHeight="1">
      <c r="F2518" s="14"/>
    </row>
    <row r="2519" ht="22.5" customHeight="1">
      <c r="F2519" s="14"/>
    </row>
    <row r="2520" ht="22.5" customHeight="1">
      <c r="F2520" s="14"/>
    </row>
    <row r="2521" ht="22.5" customHeight="1">
      <c r="F2521" s="14"/>
    </row>
    <row r="2522" ht="22.5" customHeight="1">
      <c r="F2522" s="14"/>
    </row>
    <row r="2523" ht="22.5" customHeight="1">
      <c r="F2523" s="14"/>
    </row>
    <row r="2524" ht="22.5" customHeight="1">
      <c r="F2524" s="14"/>
    </row>
    <row r="2525" ht="22.5" customHeight="1">
      <c r="F2525" s="14"/>
    </row>
    <row r="2526" ht="22.5" customHeight="1">
      <c r="F2526" s="14"/>
    </row>
    <row r="2527" ht="22.5" customHeight="1">
      <c r="F2527" s="14"/>
    </row>
    <row r="2528" ht="22.5" customHeight="1">
      <c r="F2528" s="14"/>
    </row>
    <row r="2529" ht="22.5" customHeight="1">
      <c r="F2529" s="14"/>
    </row>
    <row r="2530" ht="22.5" customHeight="1">
      <c r="F2530" s="14"/>
    </row>
    <row r="2531" ht="22.5" customHeight="1">
      <c r="F2531" s="14"/>
    </row>
    <row r="2532" ht="22.5" customHeight="1">
      <c r="F2532" s="14"/>
    </row>
    <row r="2533" ht="22.5" customHeight="1">
      <c r="F2533" s="14"/>
    </row>
    <row r="2534" ht="22.5" customHeight="1">
      <c r="F2534" s="14"/>
    </row>
    <row r="2535" ht="22.5" customHeight="1">
      <c r="F2535" s="14"/>
    </row>
    <row r="2536" ht="22.5" customHeight="1">
      <c r="F2536" s="14"/>
    </row>
    <row r="2537" ht="22.5" customHeight="1">
      <c r="F2537" s="14"/>
    </row>
    <row r="2538" ht="22.5" customHeight="1">
      <c r="F2538" s="14"/>
    </row>
    <row r="2539" ht="22.5" customHeight="1">
      <c r="F2539" s="14"/>
    </row>
    <row r="2540" ht="22.5" customHeight="1">
      <c r="F2540" s="14"/>
    </row>
    <row r="2541" ht="22.5" customHeight="1">
      <c r="F2541" s="14"/>
    </row>
    <row r="2542" ht="22.5" customHeight="1">
      <c r="F2542" s="14"/>
    </row>
    <row r="2543" ht="22.5" customHeight="1">
      <c r="F2543" s="14"/>
    </row>
    <row r="2544" ht="22.5" customHeight="1">
      <c r="F2544" s="14"/>
    </row>
    <row r="2545" ht="22.5" customHeight="1">
      <c r="F2545" s="14"/>
    </row>
    <row r="2546" ht="22.5" customHeight="1">
      <c r="F2546" s="14"/>
    </row>
    <row r="2547" ht="22.5" customHeight="1">
      <c r="F2547" s="14"/>
    </row>
    <row r="2548" ht="22.5" customHeight="1">
      <c r="F2548" s="14"/>
    </row>
    <row r="2549" ht="22.5" customHeight="1">
      <c r="F2549" s="14"/>
    </row>
    <row r="2550" ht="22.5" customHeight="1">
      <c r="F2550" s="14"/>
    </row>
    <row r="2551" ht="22.5" customHeight="1">
      <c r="F2551" s="14"/>
    </row>
    <row r="2552" ht="22.5" customHeight="1">
      <c r="F2552" s="14"/>
    </row>
    <row r="2553" ht="22.5" customHeight="1">
      <c r="F2553" s="14"/>
    </row>
    <row r="2554" ht="22.5" customHeight="1">
      <c r="F2554" s="14"/>
    </row>
    <row r="2555" ht="22.5" customHeight="1">
      <c r="F2555" s="14"/>
    </row>
    <row r="2556" ht="22.5" customHeight="1">
      <c r="F2556" s="14"/>
    </row>
    <row r="2557" ht="22.5" customHeight="1">
      <c r="F2557" s="14"/>
    </row>
    <row r="2558" ht="22.5" customHeight="1">
      <c r="F2558" s="14"/>
    </row>
    <row r="2559" ht="22.5" customHeight="1">
      <c r="F2559" s="14"/>
    </row>
    <row r="2560" ht="22.5" customHeight="1">
      <c r="F2560" s="14"/>
    </row>
    <row r="2561" ht="22.5" customHeight="1">
      <c r="F2561" s="14"/>
    </row>
    <row r="2562" ht="22.5" customHeight="1">
      <c r="F2562" s="14"/>
    </row>
    <row r="2563" ht="22.5" customHeight="1">
      <c r="F2563" s="14"/>
    </row>
    <row r="2564" ht="22.5" customHeight="1">
      <c r="F2564" s="14"/>
    </row>
    <row r="2565" ht="22.5" customHeight="1">
      <c r="F2565" s="14"/>
    </row>
    <row r="2566" ht="22.5" customHeight="1">
      <c r="F2566" s="14"/>
    </row>
    <row r="2567" ht="22.5" customHeight="1">
      <c r="F2567" s="14"/>
    </row>
    <row r="2568" ht="22.5" customHeight="1">
      <c r="F2568" s="14"/>
    </row>
    <row r="2569" ht="22.5" customHeight="1">
      <c r="F2569" s="14"/>
    </row>
    <row r="2570" ht="22.5" customHeight="1">
      <c r="F2570" s="14"/>
    </row>
    <row r="2571" ht="22.5" customHeight="1">
      <c r="F2571" s="14"/>
    </row>
    <row r="2572" ht="22.5" customHeight="1">
      <c r="F2572" s="14"/>
    </row>
    <row r="2573" ht="22.5" customHeight="1">
      <c r="F2573" s="14"/>
    </row>
    <row r="2574" ht="22.5" customHeight="1">
      <c r="F2574" s="14"/>
    </row>
    <row r="2575" ht="22.5" customHeight="1">
      <c r="F2575" s="14"/>
    </row>
    <row r="2576" ht="22.5" customHeight="1">
      <c r="F2576" s="14"/>
    </row>
    <row r="2577" ht="22.5" customHeight="1">
      <c r="F2577" s="14"/>
    </row>
    <row r="2578" ht="22.5" customHeight="1">
      <c r="F2578" s="14"/>
    </row>
    <row r="2579" ht="22.5" customHeight="1">
      <c r="F2579" s="14"/>
    </row>
    <row r="2580" ht="22.5" customHeight="1">
      <c r="F2580" s="14"/>
    </row>
    <row r="2581" ht="22.5" customHeight="1">
      <c r="F2581" s="14"/>
    </row>
    <row r="2582" ht="22.5" customHeight="1">
      <c r="F2582" s="14"/>
    </row>
    <row r="2583" ht="22.5" customHeight="1">
      <c r="F2583" s="14"/>
    </row>
    <row r="2584" ht="22.5" customHeight="1">
      <c r="F2584" s="14"/>
    </row>
    <row r="2585" ht="22.5" customHeight="1">
      <c r="F2585" s="14"/>
    </row>
    <row r="2586" ht="22.5" customHeight="1">
      <c r="F2586" s="14"/>
    </row>
    <row r="2587" ht="22.5" customHeight="1">
      <c r="F2587" s="14"/>
    </row>
    <row r="2588" ht="22.5" customHeight="1">
      <c r="F2588" s="14"/>
    </row>
    <row r="2589" ht="22.5" customHeight="1">
      <c r="F2589" s="14"/>
    </row>
    <row r="2590" ht="22.5" customHeight="1">
      <c r="F2590" s="14"/>
    </row>
    <row r="2591" ht="22.5" customHeight="1">
      <c r="F2591" s="14"/>
    </row>
    <row r="2592" ht="22.5" customHeight="1">
      <c r="F2592" s="14"/>
    </row>
    <row r="2593" ht="22.5" customHeight="1">
      <c r="F2593" s="14"/>
    </row>
    <row r="2594" ht="22.5" customHeight="1">
      <c r="F2594" s="14"/>
    </row>
    <row r="2595" ht="22.5" customHeight="1">
      <c r="F2595" s="14"/>
    </row>
    <row r="2596" ht="22.5" customHeight="1">
      <c r="F2596" s="14"/>
    </row>
    <row r="2597" ht="22.5" customHeight="1">
      <c r="F2597" s="14"/>
    </row>
    <row r="2598" ht="22.5" customHeight="1">
      <c r="F2598" s="14"/>
    </row>
    <row r="2599" ht="22.5" customHeight="1">
      <c r="F2599" s="14"/>
    </row>
    <row r="2600" ht="22.5" customHeight="1">
      <c r="F2600" s="14"/>
    </row>
    <row r="2601" ht="22.5" customHeight="1">
      <c r="F2601" s="14"/>
    </row>
    <row r="2602" ht="22.5" customHeight="1">
      <c r="F2602" s="14"/>
    </row>
    <row r="2603" ht="22.5" customHeight="1">
      <c r="F2603" s="14"/>
    </row>
    <row r="2604" ht="22.5" customHeight="1">
      <c r="F2604" s="14"/>
    </row>
    <row r="2605" ht="22.5" customHeight="1">
      <c r="F2605" s="14"/>
    </row>
    <row r="2606" ht="22.5" customHeight="1">
      <c r="F2606" s="14"/>
    </row>
    <row r="2607" ht="22.5" customHeight="1">
      <c r="F2607" s="14"/>
    </row>
    <row r="2608" ht="22.5" customHeight="1">
      <c r="F2608" s="14"/>
    </row>
    <row r="2609" ht="22.5" customHeight="1">
      <c r="F2609" s="14"/>
    </row>
    <row r="2610" ht="22.5" customHeight="1">
      <c r="F2610" s="14"/>
    </row>
    <row r="2611" ht="22.5" customHeight="1">
      <c r="F2611" s="14"/>
    </row>
    <row r="2612" ht="22.5" customHeight="1">
      <c r="F2612" s="14"/>
    </row>
    <row r="2613" ht="22.5" customHeight="1">
      <c r="F2613" s="14"/>
    </row>
    <row r="2614" ht="22.5" customHeight="1">
      <c r="F2614" s="14"/>
    </row>
    <row r="2615" ht="22.5" customHeight="1">
      <c r="F2615" s="14"/>
    </row>
    <row r="2616" ht="22.5" customHeight="1">
      <c r="F2616" s="14"/>
    </row>
    <row r="2617" ht="22.5" customHeight="1">
      <c r="F2617" s="14"/>
    </row>
    <row r="2618" ht="22.5" customHeight="1">
      <c r="F2618" s="14"/>
    </row>
    <row r="2619" ht="22.5" customHeight="1">
      <c r="F2619" s="14"/>
    </row>
    <row r="2620" ht="22.5" customHeight="1">
      <c r="F2620" s="14"/>
    </row>
    <row r="2621" ht="22.5" customHeight="1">
      <c r="F2621" s="14"/>
    </row>
    <row r="2622" ht="22.5" customHeight="1">
      <c r="F2622" s="14"/>
    </row>
    <row r="2623" ht="22.5" customHeight="1">
      <c r="F2623" s="14"/>
    </row>
    <row r="2624" ht="22.5" customHeight="1">
      <c r="F2624" s="14"/>
    </row>
    <row r="2625" ht="22.5" customHeight="1">
      <c r="F2625" s="14"/>
    </row>
    <row r="2626" ht="22.5" customHeight="1">
      <c r="F2626" s="14"/>
    </row>
    <row r="2627" ht="22.5" customHeight="1">
      <c r="F2627" s="14"/>
    </row>
    <row r="2628" ht="22.5" customHeight="1">
      <c r="F2628" s="14"/>
    </row>
    <row r="2629" ht="22.5" customHeight="1">
      <c r="F2629" s="14"/>
    </row>
    <row r="2630" ht="22.5" customHeight="1">
      <c r="F2630" s="14"/>
    </row>
    <row r="2631" ht="22.5" customHeight="1">
      <c r="F2631" s="14"/>
    </row>
    <row r="2632" ht="22.5" customHeight="1">
      <c r="F2632" s="14"/>
    </row>
    <row r="2633" ht="22.5" customHeight="1">
      <c r="F2633" s="14"/>
    </row>
    <row r="2634" ht="22.5" customHeight="1">
      <c r="F2634" s="14"/>
    </row>
    <row r="2635" ht="22.5" customHeight="1">
      <c r="F2635" s="14"/>
    </row>
    <row r="2636" ht="22.5" customHeight="1">
      <c r="F2636" s="14"/>
    </row>
    <row r="2637" ht="22.5" customHeight="1">
      <c r="F2637" s="14"/>
    </row>
    <row r="2638" ht="22.5" customHeight="1">
      <c r="F2638" s="14"/>
    </row>
    <row r="2639" ht="22.5" customHeight="1">
      <c r="F2639" s="14"/>
    </row>
    <row r="2640" ht="22.5" customHeight="1">
      <c r="F2640" s="14"/>
    </row>
    <row r="2641" ht="22.5" customHeight="1">
      <c r="F2641" s="14"/>
    </row>
    <row r="2642" ht="22.5" customHeight="1">
      <c r="F2642" s="14"/>
    </row>
    <row r="2643" ht="22.5" customHeight="1">
      <c r="F2643" s="14"/>
    </row>
    <row r="2644" ht="22.5" customHeight="1">
      <c r="F2644" s="14"/>
    </row>
    <row r="2645" ht="22.5" customHeight="1">
      <c r="F2645" s="14"/>
    </row>
    <row r="2646" ht="22.5" customHeight="1">
      <c r="F2646" s="14"/>
    </row>
    <row r="2647" ht="22.5" customHeight="1">
      <c r="F2647" s="14"/>
    </row>
    <row r="2648" ht="22.5" customHeight="1">
      <c r="F2648" s="14"/>
    </row>
    <row r="2649" ht="22.5" customHeight="1">
      <c r="F2649" s="14"/>
    </row>
    <row r="2650" ht="22.5" customHeight="1">
      <c r="F2650" s="14"/>
    </row>
    <row r="2651" ht="22.5" customHeight="1">
      <c r="F2651" s="14"/>
    </row>
    <row r="2652" ht="22.5" customHeight="1">
      <c r="F2652" s="14"/>
    </row>
    <row r="2653" ht="22.5" customHeight="1">
      <c r="F2653" s="14"/>
    </row>
    <row r="2654" ht="22.5" customHeight="1">
      <c r="F2654" s="14"/>
    </row>
    <row r="2655" ht="22.5" customHeight="1">
      <c r="F2655" s="14"/>
    </row>
    <row r="2656" ht="22.5" customHeight="1">
      <c r="F2656" s="14"/>
    </row>
    <row r="2657" ht="22.5" customHeight="1">
      <c r="F2657" s="14"/>
    </row>
    <row r="2658" ht="22.5" customHeight="1">
      <c r="F2658" s="14"/>
    </row>
    <row r="2659" ht="22.5" customHeight="1">
      <c r="F2659" s="14"/>
    </row>
    <row r="2660" ht="22.5" customHeight="1">
      <c r="F2660" s="14"/>
    </row>
    <row r="2661" ht="22.5" customHeight="1">
      <c r="F2661" s="14"/>
    </row>
    <row r="2662" ht="22.5" customHeight="1">
      <c r="F2662" s="14"/>
    </row>
    <row r="2663" ht="22.5" customHeight="1">
      <c r="F2663" s="14"/>
    </row>
    <row r="2664" ht="22.5" customHeight="1">
      <c r="F2664" s="14"/>
    </row>
    <row r="2665" ht="22.5" customHeight="1">
      <c r="F2665" s="14"/>
    </row>
    <row r="2666" ht="22.5" customHeight="1">
      <c r="F2666" s="14"/>
    </row>
    <row r="2667" ht="22.5" customHeight="1">
      <c r="F2667" s="14"/>
    </row>
    <row r="2668" ht="22.5" customHeight="1">
      <c r="F2668" s="14"/>
    </row>
    <row r="2669" ht="22.5" customHeight="1">
      <c r="F2669" s="14"/>
    </row>
    <row r="2670" ht="22.5" customHeight="1">
      <c r="F2670" s="14"/>
    </row>
    <row r="2671" ht="22.5" customHeight="1">
      <c r="F2671" s="14"/>
    </row>
    <row r="2672" ht="22.5" customHeight="1">
      <c r="F2672" s="14"/>
    </row>
    <row r="2673" ht="22.5" customHeight="1">
      <c r="F2673" s="14"/>
    </row>
    <row r="2674" ht="22.5" customHeight="1">
      <c r="F2674" s="14"/>
    </row>
    <row r="2675" ht="22.5" customHeight="1">
      <c r="F2675" s="14"/>
    </row>
    <row r="2676" ht="22.5" customHeight="1">
      <c r="F2676" s="14"/>
    </row>
    <row r="2677" ht="22.5" customHeight="1">
      <c r="F2677" s="14"/>
    </row>
    <row r="2678" ht="22.5" customHeight="1">
      <c r="F2678" s="14"/>
    </row>
    <row r="2679" ht="22.5" customHeight="1">
      <c r="F2679" s="14"/>
    </row>
    <row r="2680" ht="22.5" customHeight="1">
      <c r="F2680" s="14"/>
    </row>
    <row r="2681" ht="22.5" customHeight="1">
      <c r="F2681" s="14"/>
    </row>
    <row r="2682" ht="22.5" customHeight="1">
      <c r="F2682" s="14"/>
    </row>
    <row r="2683" ht="22.5" customHeight="1">
      <c r="F2683" s="14"/>
    </row>
    <row r="2684" ht="22.5" customHeight="1">
      <c r="F2684" s="14"/>
    </row>
    <row r="2685" ht="22.5" customHeight="1">
      <c r="F2685" s="14"/>
    </row>
    <row r="2686" ht="22.5" customHeight="1">
      <c r="F2686" s="14"/>
    </row>
    <row r="2687" ht="22.5" customHeight="1">
      <c r="F2687" s="14"/>
    </row>
    <row r="2688" ht="22.5" customHeight="1">
      <c r="F2688" s="14"/>
    </row>
    <row r="2689" ht="22.5" customHeight="1">
      <c r="F2689" s="14"/>
    </row>
    <row r="2690" ht="22.5" customHeight="1">
      <c r="F2690" s="14"/>
    </row>
    <row r="2691" ht="22.5" customHeight="1">
      <c r="F2691" s="14"/>
    </row>
    <row r="2692" ht="22.5" customHeight="1">
      <c r="F2692" s="14"/>
    </row>
    <row r="2693" ht="22.5" customHeight="1">
      <c r="F2693" s="14"/>
    </row>
    <row r="2694" ht="22.5" customHeight="1">
      <c r="F2694" s="14"/>
    </row>
    <row r="2695" ht="22.5" customHeight="1">
      <c r="F2695" s="14"/>
    </row>
    <row r="2696" ht="22.5" customHeight="1">
      <c r="F2696" s="14"/>
    </row>
    <row r="2697" ht="22.5" customHeight="1">
      <c r="F2697" s="14"/>
    </row>
    <row r="2698" ht="22.5" customHeight="1">
      <c r="F2698" s="14"/>
    </row>
    <row r="2699" ht="22.5" customHeight="1">
      <c r="F2699" s="14"/>
    </row>
    <row r="2700" ht="22.5" customHeight="1">
      <c r="F2700" s="14"/>
    </row>
    <row r="2701" ht="22.5" customHeight="1">
      <c r="F2701" s="14"/>
    </row>
    <row r="2702" ht="22.5" customHeight="1">
      <c r="F2702" s="14"/>
    </row>
    <row r="2703" ht="22.5" customHeight="1">
      <c r="F2703" s="14"/>
    </row>
    <row r="2704" ht="22.5" customHeight="1">
      <c r="F2704" s="14"/>
    </row>
    <row r="2705" ht="22.5" customHeight="1">
      <c r="F2705" s="14"/>
    </row>
    <row r="2706" ht="22.5" customHeight="1">
      <c r="F2706" s="14"/>
    </row>
    <row r="2707" ht="22.5" customHeight="1">
      <c r="F2707" s="14"/>
    </row>
    <row r="2708" ht="22.5" customHeight="1">
      <c r="F2708" s="14"/>
    </row>
    <row r="2709" ht="22.5" customHeight="1">
      <c r="F2709" s="14"/>
    </row>
    <row r="2710" ht="22.5" customHeight="1">
      <c r="F2710" s="14"/>
    </row>
    <row r="2711" ht="22.5" customHeight="1">
      <c r="F2711" s="14"/>
    </row>
    <row r="2712" ht="22.5" customHeight="1">
      <c r="F2712" s="14"/>
    </row>
    <row r="2713" ht="22.5" customHeight="1">
      <c r="F2713" s="14"/>
    </row>
    <row r="2714" ht="22.5" customHeight="1">
      <c r="F2714" s="14"/>
    </row>
    <row r="2715" ht="22.5" customHeight="1">
      <c r="F2715" s="14"/>
    </row>
    <row r="2716" ht="22.5" customHeight="1">
      <c r="F2716" s="14"/>
    </row>
    <row r="2717" ht="22.5" customHeight="1">
      <c r="F2717" s="14"/>
    </row>
    <row r="2718" ht="22.5" customHeight="1">
      <c r="F2718" s="14"/>
    </row>
    <row r="2719" ht="22.5" customHeight="1">
      <c r="F2719" s="14"/>
    </row>
    <row r="2720" ht="22.5" customHeight="1">
      <c r="F2720" s="14"/>
    </row>
    <row r="2721" ht="22.5" customHeight="1">
      <c r="F2721" s="14"/>
    </row>
    <row r="2722" ht="22.5" customHeight="1">
      <c r="F2722" s="14"/>
    </row>
    <row r="2723" ht="22.5" customHeight="1">
      <c r="F2723" s="14"/>
    </row>
    <row r="2724" ht="22.5" customHeight="1">
      <c r="F2724" s="14"/>
    </row>
    <row r="2725" ht="22.5" customHeight="1">
      <c r="F2725" s="14"/>
    </row>
    <row r="2726" ht="22.5" customHeight="1">
      <c r="F2726" s="14"/>
    </row>
    <row r="2727" ht="22.5" customHeight="1">
      <c r="F2727" s="14"/>
    </row>
    <row r="2728" ht="22.5" customHeight="1">
      <c r="F2728" s="14"/>
    </row>
    <row r="2729" ht="22.5" customHeight="1">
      <c r="F2729" s="14"/>
    </row>
    <row r="2730" ht="22.5" customHeight="1">
      <c r="F2730" s="14"/>
    </row>
    <row r="2731" ht="22.5" customHeight="1">
      <c r="F2731" s="14"/>
    </row>
    <row r="2732" ht="22.5" customHeight="1">
      <c r="F2732" s="14"/>
    </row>
    <row r="2733" ht="22.5" customHeight="1">
      <c r="F2733" s="14"/>
    </row>
    <row r="2734" ht="22.5" customHeight="1">
      <c r="F2734" s="14"/>
    </row>
    <row r="2735" ht="22.5" customHeight="1">
      <c r="F2735" s="14"/>
    </row>
    <row r="2736" ht="22.5" customHeight="1">
      <c r="F2736" s="14"/>
    </row>
    <row r="2737" ht="22.5" customHeight="1">
      <c r="F2737" s="14"/>
    </row>
    <row r="2738" ht="22.5" customHeight="1">
      <c r="F2738" s="14"/>
    </row>
    <row r="2739" ht="22.5" customHeight="1">
      <c r="F2739" s="14"/>
    </row>
    <row r="2740" ht="22.5" customHeight="1">
      <c r="F2740" s="14"/>
    </row>
    <row r="2741" ht="22.5" customHeight="1">
      <c r="F2741" s="14"/>
    </row>
    <row r="2742" ht="22.5" customHeight="1">
      <c r="F2742" s="14"/>
    </row>
    <row r="2743" ht="22.5" customHeight="1">
      <c r="F2743" s="14"/>
    </row>
    <row r="2744" ht="22.5" customHeight="1">
      <c r="F2744" s="14"/>
    </row>
    <row r="2745" ht="22.5" customHeight="1">
      <c r="F2745" s="14"/>
    </row>
    <row r="2746" ht="22.5" customHeight="1">
      <c r="F2746" s="14"/>
    </row>
    <row r="2747" ht="22.5" customHeight="1">
      <c r="F2747" s="14"/>
    </row>
    <row r="2748" ht="22.5" customHeight="1">
      <c r="F2748" s="14"/>
    </row>
    <row r="2749" ht="22.5" customHeight="1">
      <c r="F2749" s="14"/>
    </row>
    <row r="2750" ht="22.5" customHeight="1">
      <c r="F2750" s="14"/>
    </row>
    <row r="2751" ht="22.5" customHeight="1">
      <c r="F2751" s="14"/>
    </row>
    <row r="2752" ht="22.5" customHeight="1">
      <c r="F2752" s="14"/>
    </row>
    <row r="2753" ht="22.5" customHeight="1">
      <c r="F2753" s="14"/>
    </row>
    <row r="2754" ht="22.5" customHeight="1">
      <c r="F2754" s="14"/>
    </row>
    <row r="2755" ht="22.5" customHeight="1">
      <c r="F2755" s="14"/>
    </row>
    <row r="2756" ht="22.5" customHeight="1">
      <c r="F2756" s="14"/>
    </row>
    <row r="2757" ht="22.5" customHeight="1">
      <c r="F2757" s="14"/>
    </row>
    <row r="2758" ht="22.5" customHeight="1">
      <c r="F2758" s="14"/>
    </row>
    <row r="2759" ht="22.5" customHeight="1">
      <c r="F2759" s="14"/>
    </row>
    <row r="2760" ht="22.5" customHeight="1">
      <c r="F2760" s="14"/>
    </row>
    <row r="2761" ht="22.5" customHeight="1">
      <c r="F2761" s="14"/>
    </row>
    <row r="2762" ht="22.5" customHeight="1">
      <c r="F2762" s="14"/>
    </row>
    <row r="2763" ht="22.5" customHeight="1">
      <c r="F2763" s="14"/>
    </row>
    <row r="2764" ht="22.5" customHeight="1">
      <c r="F2764" s="14"/>
    </row>
    <row r="2765" ht="22.5" customHeight="1">
      <c r="F2765" s="14"/>
    </row>
    <row r="2766" ht="22.5" customHeight="1">
      <c r="F2766" s="14"/>
    </row>
    <row r="2767" ht="22.5" customHeight="1">
      <c r="F2767" s="14"/>
    </row>
    <row r="2768" ht="22.5" customHeight="1">
      <c r="F2768" s="14"/>
    </row>
    <row r="2769" ht="22.5" customHeight="1">
      <c r="F2769" s="14"/>
    </row>
    <row r="2770" ht="22.5" customHeight="1">
      <c r="F2770" s="14"/>
    </row>
    <row r="2771" ht="22.5" customHeight="1">
      <c r="F2771" s="14"/>
    </row>
    <row r="2772" ht="22.5" customHeight="1">
      <c r="F2772" s="14"/>
    </row>
    <row r="2773" ht="22.5" customHeight="1">
      <c r="F2773" s="14"/>
    </row>
    <row r="2774" ht="22.5" customHeight="1">
      <c r="F2774" s="14"/>
    </row>
    <row r="2775" ht="22.5" customHeight="1">
      <c r="F2775" s="14"/>
    </row>
    <row r="2776" ht="22.5" customHeight="1">
      <c r="F2776" s="14"/>
    </row>
    <row r="2777" ht="22.5" customHeight="1">
      <c r="F2777" s="14"/>
    </row>
    <row r="2778" ht="22.5" customHeight="1">
      <c r="F2778" s="14"/>
    </row>
    <row r="2779" ht="22.5" customHeight="1">
      <c r="F2779" s="14"/>
    </row>
    <row r="2780" ht="22.5" customHeight="1">
      <c r="F2780" s="14"/>
    </row>
    <row r="2781" ht="22.5" customHeight="1">
      <c r="F2781" s="14"/>
    </row>
    <row r="2782" ht="22.5" customHeight="1">
      <c r="F2782" s="14"/>
    </row>
    <row r="2783" ht="22.5" customHeight="1">
      <c r="F2783" s="14"/>
    </row>
    <row r="2784" ht="22.5" customHeight="1">
      <c r="F2784" s="14"/>
    </row>
    <row r="2785" ht="22.5" customHeight="1">
      <c r="F2785" s="14"/>
    </row>
    <row r="2786" ht="22.5" customHeight="1">
      <c r="F2786" s="14"/>
    </row>
    <row r="2787" ht="22.5" customHeight="1">
      <c r="F2787" s="14"/>
    </row>
    <row r="2788" ht="22.5" customHeight="1">
      <c r="F2788" s="14"/>
    </row>
    <row r="2789" ht="22.5" customHeight="1">
      <c r="F2789" s="14"/>
    </row>
    <row r="2790" ht="22.5" customHeight="1">
      <c r="F2790" s="14"/>
    </row>
    <row r="2791" ht="22.5" customHeight="1">
      <c r="F2791" s="14"/>
    </row>
    <row r="2792" ht="22.5" customHeight="1">
      <c r="F2792" s="14"/>
    </row>
    <row r="2793" ht="22.5" customHeight="1">
      <c r="F2793" s="14"/>
    </row>
    <row r="2794" ht="22.5" customHeight="1">
      <c r="F2794" s="14"/>
    </row>
    <row r="2795" ht="22.5" customHeight="1">
      <c r="F2795" s="14"/>
    </row>
    <row r="2796" ht="22.5" customHeight="1">
      <c r="F2796" s="14"/>
    </row>
    <row r="2797" ht="22.5" customHeight="1">
      <c r="F2797" s="14"/>
    </row>
    <row r="2798" ht="22.5" customHeight="1">
      <c r="F2798" s="14"/>
    </row>
    <row r="2799" ht="22.5" customHeight="1">
      <c r="F2799" s="14"/>
    </row>
    <row r="2800" ht="22.5" customHeight="1">
      <c r="F2800" s="14"/>
    </row>
    <row r="2801" ht="22.5" customHeight="1">
      <c r="F2801" s="14"/>
    </row>
    <row r="2802" ht="22.5" customHeight="1">
      <c r="F2802" s="14"/>
    </row>
    <row r="2803" ht="22.5" customHeight="1">
      <c r="F2803" s="14"/>
    </row>
    <row r="2804" ht="22.5" customHeight="1">
      <c r="F2804" s="14"/>
    </row>
    <row r="2805" ht="22.5" customHeight="1">
      <c r="F2805" s="14"/>
    </row>
    <row r="2806" ht="22.5" customHeight="1">
      <c r="F2806" s="14"/>
    </row>
    <row r="2807" ht="22.5" customHeight="1">
      <c r="F2807" s="14"/>
    </row>
    <row r="2808" ht="22.5" customHeight="1">
      <c r="F2808" s="14"/>
    </row>
    <row r="2809" ht="22.5" customHeight="1">
      <c r="F2809" s="14"/>
    </row>
    <row r="2810" ht="22.5" customHeight="1">
      <c r="F2810" s="14"/>
    </row>
    <row r="2811" ht="22.5" customHeight="1">
      <c r="F2811" s="14"/>
    </row>
    <row r="2812" ht="22.5" customHeight="1">
      <c r="F2812" s="14"/>
    </row>
    <row r="2813" ht="22.5" customHeight="1">
      <c r="F2813" s="14"/>
    </row>
    <row r="2814" ht="22.5" customHeight="1">
      <c r="F2814" s="14"/>
    </row>
    <row r="2815" ht="22.5" customHeight="1">
      <c r="F2815" s="14"/>
    </row>
    <row r="2816" ht="22.5" customHeight="1">
      <c r="F2816" s="14"/>
    </row>
    <row r="2817" ht="22.5" customHeight="1">
      <c r="F2817" s="14"/>
    </row>
    <row r="2818" ht="22.5" customHeight="1">
      <c r="F2818" s="14"/>
    </row>
    <row r="2819" ht="22.5" customHeight="1">
      <c r="F2819" s="14"/>
    </row>
    <row r="2820" ht="22.5" customHeight="1">
      <c r="F2820" s="14"/>
    </row>
    <row r="2821" ht="22.5" customHeight="1">
      <c r="F2821" s="14"/>
    </row>
    <row r="2822" ht="22.5" customHeight="1">
      <c r="F2822" s="14"/>
    </row>
    <row r="2823" ht="22.5" customHeight="1">
      <c r="F2823" s="14"/>
    </row>
    <row r="2824" ht="22.5" customHeight="1">
      <c r="F2824" s="14"/>
    </row>
    <row r="2825" ht="22.5" customHeight="1">
      <c r="F2825" s="14"/>
    </row>
    <row r="2826" ht="22.5" customHeight="1">
      <c r="F2826" s="14"/>
    </row>
    <row r="2827" ht="22.5" customHeight="1">
      <c r="F2827" s="14"/>
    </row>
    <row r="2828" ht="22.5" customHeight="1">
      <c r="F2828" s="14"/>
    </row>
    <row r="2829" ht="22.5" customHeight="1">
      <c r="F2829" s="14"/>
    </row>
    <row r="2830" ht="22.5" customHeight="1">
      <c r="F2830" s="14"/>
    </row>
    <row r="2831" ht="22.5" customHeight="1">
      <c r="F2831" s="14"/>
    </row>
    <row r="2832" ht="22.5" customHeight="1">
      <c r="F2832" s="14"/>
    </row>
    <row r="2833" ht="22.5" customHeight="1">
      <c r="F2833" s="14"/>
    </row>
    <row r="2834" ht="22.5" customHeight="1">
      <c r="F2834" s="14"/>
    </row>
    <row r="2835" ht="22.5" customHeight="1">
      <c r="F2835" s="14"/>
    </row>
    <row r="2836" ht="22.5" customHeight="1">
      <c r="F2836" s="14"/>
    </row>
    <row r="2837" ht="22.5" customHeight="1">
      <c r="F2837" s="14"/>
    </row>
    <row r="2838" ht="22.5" customHeight="1">
      <c r="F2838" s="14"/>
    </row>
    <row r="2839" ht="22.5" customHeight="1">
      <c r="F2839" s="14"/>
    </row>
    <row r="2840" ht="22.5" customHeight="1">
      <c r="F2840" s="14"/>
    </row>
    <row r="2841" ht="22.5" customHeight="1">
      <c r="F2841" s="14"/>
    </row>
    <row r="2842" ht="22.5" customHeight="1">
      <c r="F2842" s="14"/>
    </row>
    <row r="2843" ht="22.5" customHeight="1">
      <c r="F2843" s="14"/>
    </row>
    <row r="2844" ht="22.5" customHeight="1">
      <c r="F2844" s="14"/>
    </row>
    <row r="2845" ht="22.5" customHeight="1">
      <c r="F2845" s="14"/>
    </row>
    <row r="2846" ht="22.5" customHeight="1">
      <c r="F2846" s="14"/>
    </row>
    <row r="2847" ht="22.5" customHeight="1">
      <c r="F2847" s="14"/>
    </row>
    <row r="2848" ht="22.5" customHeight="1">
      <c r="F2848" s="14"/>
    </row>
    <row r="2849" ht="22.5" customHeight="1">
      <c r="F2849" s="14"/>
    </row>
    <row r="2850" ht="22.5" customHeight="1">
      <c r="F2850" s="14"/>
    </row>
    <row r="2851" ht="22.5" customHeight="1">
      <c r="F2851" s="14"/>
    </row>
    <row r="2852" ht="22.5" customHeight="1">
      <c r="F2852" s="14"/>
    </row>
    <row r="2853" ht="22.5" customHeight="1">
      <c r="F2853" s="14"/>
    </row>
    <row r="2854" ht="22.5" customHeight="1">
      <c r="F2854" s="14"/>
    </row>
    <row r="2855" ht="22.5" customHeight="1">
      <c r="F2855" s="14"/>
    </row>
    <row r="2856" ht="22.5" customHeight="1">
      <c r="F2856" s="14"/>
    </row>
    <row r="2857" ht="22.5" customHeight="1">
      <c r="F2857" s="14"/>
    </row>
    <row r="2858" ht="22.5" customHeight="1">
      <c r="F2858" s="14"/>
    </row>
    <row r="2859" ht="22.5" customHeight="1">
      <c r="F2859" s="14"/>
    </row>
    <row r="2860" ht="22.5" customHeight="1">
      <c r="F2860" s="14"/>
    </row>
    <row r="2861" ht="22.5" customHeight="1">
      <c r="F2861" s="14"/>
    </row>
    <row r="2862" ht="22.5" customHeight="1">
      <c r="F2862" s="14"/>
    </row>
    <row r="2863" ht="22.5" customHeight="1">
      <c r="F2863" s="14"/>
    </row>
    <row r="2864" ht="22.5" customHeight="1">
      <c r="F2864" s="14"/>
    </row>
    <row r="2865" ht="22.5" customHeight="1">
      <c r="F2865" s="14"/>
    </row>
    <row r="2866" ht="22.5" customHeight="1">
      <c r="F2866" s="14"/>
    </row>
    <row r="2867" ht="22.5" customHeight="1">
      <c r="F2867" s="14"/>
    </row>
    <row r="2868" ht="22.5" customHeight="1">
      <c r="F2868" s="14"/>
    </row>
    <row r="2869" ht="22.5" customHeight="1">
      <c r="F2869" s="14"/>
    </row>
    <row r="2870" ht="22.5" customHeight="1">
      <c r="F2870" s="14"/>
    </row>
    <row r="2871" ht="22.5" customHeight="1">
      <c r="F2871" s="14"/>
    </row>
    <row r="2872" ht="22.5" customHeight="1">
      <c r="F2872" s="14"/>
    </row>
    <row r="2873" ht="22.5" customHeight="1">
      <c r="F2873" s="14"/>
    </row>
    <row r="2874" ht="22.5" customHeight="1">
      <c r="F2874" s="14"/>
    </row>
    <row r="2875" ht="22.5" customHeight="1">
      <c r="F2875" s="14"/>
    </row>
    <row r="2876" ht="22.5" customHeight="1">
      <c r="F2876" s="14"/>
    </row>
    <row r="2877" ht="22.5" customHeight="1">
      <c r="F2877" s="14"/>
    </row>
    <row r="2878" ht="22.5" customHeight="1">
      <c r="F2878" s="14"/>
    </row>
    <row r="2879" ht="22.5" customHeight="1">
      <c r="F2879" s="14"/>
    </row>
    <row r="2880" ht="22.5" customHeight="1">
      <c r="F2880" s="14"/>
    </row>
    <row r="2881" ht="22.5" customHeight="1">
      <c r="F2881" s="14"/>
    </row>
    <row r="2882" ht="22.5" customHeight="1">
      <c r="F2882" s="14"/>
    </row>
    <row r="2883" ht="22.5" customHeight="1">
      <c r="F2883" s="14"/>
    </row>
    <row r="2884" ht="22.5" customHeight="1">
      <c r="F2884" s="14"/>
    </row>
    <row r="2885" ht="22.5" customHeight="1">
      <c r="F2885" s="14"/>
    </row>
    <row r="2886" ht="22.5" customHeight="1">
      <c r="F2886" s="14"/>
    </row>
    <row r="2887" ht="22.5" customHeight="1">
      <c r="F2887" s="14"/>
    </row>
    <row r="2888" ht="22.5" customHeight="1">
      <c r="F2888" s="14"/>
    </row>
    <row r="2889" ht="22.5" customHeight="1">
      <c r="F2889" s="14"/>
    </row>
    <row r="2890" ht="22.5" customHeight="1">
      <c r="F2890" s="14"/>
    </row>
    <row r="2891" ht="22.5" customHeight="1">
      <c r="F2891" s="14"/>
    </row>
    <row r="2892" ht="22.5" customHeight="1">
      <c r="F2892" s="14"/>
    </row>
    <row r="2893" ht="22.5" customHeight="1">
      <c r="F2893" s="14"/>
    </row>
    <row r="2894" ht="22.5" customHeight="1">
      <c r="F2894" s="14"/>
    </row>
    <row r="2895" ht="22.5" customHeight="1">
      <c r="F2895" s="14"/>
    </row>
    <row r="2896" ht="22.5" customHeight="1">
      <c r="F2896" s="14"/>
    </row>
    <row r="2897" ht="22.5" customHeight="1">
      <c r="F2897" s="14"/>
    </row>
    <row r="2898" ht="22.5" customHeight="1">
      <c r="F2898" s="14"/>
    </row>
    <row r="2899" ht="22.5" customHeight="1">
      <c r="F2899" s="14"/>
    </row>
    <row r="2900" ht="22.5" customHeight="1">
      <c r="F2900" s="14"/>
    </row>
    <row r="2901" ht="22.5" customHeight="1">
      <c r="F2901" s="14"/>
    </row>
    <row r="2902" ht="22.5" customHeight="1">
      <c r="F2902" s="14"/>
    </row>
    <row r="2903" ht="22.5" customHeight="1">
      <c r="F2903" s="14"/>
    </row>
    <row r="2904" ht="22.5" customHeight="1">
      <c r="F2904" s="14"/>
    </row>
    <row r="2905" ht="22.5" customHeight="1">
      <c r="F2905" s="14"/>
    </row>
    <row r="2906" ht="22.5" customHeight="1">
      <c r="F2906" s="14"/>
    </row>
    <row r="2907" ht="22.5" customHeight="1">
      <c r="F2907" s="14"/>
    </row>
    <row r="2908" ht="22.5" customHeight="1">
      <c r="F2908" s="14"/>
    </row>
    <row r="2909" ht="22.5" customHeight="1">
      <c r="F2909" s="14"/>
    </row>
    <row r="2910" ht="22.5" customHeight="1">
      <c r="F2910" s="14"/>
    </row>
    <row r="2911" ht="22.5" customHeight="1">
      <c r="F2911" s="14"/>
    </row>
    <row r="2912" ht="22.5" customHeight="1">
      <c r="F2912" s="14"/>
    </row>
    <row r="2913" ht="22.5" customHeight="1">
      <c r="F2913" s="14"/>
    </row>
    <row r="2914" ht="22.5" customHeight="1">
      <c r="F2914" s="14"/>
    </row>
    <row r="2915" ht="22.5" customHeight="1">
      <c r="F2915" s="14"/>
    </row>
    <row r="2916" ht="22.5" customHeight="1">
      <c r="F2916" s="14"/>
    </row>
    <row r="2917" ht="22.5" customHeight="1">
      <c r="F2917" s="14"/>
    </row>
    <row r="2918" ht="22.5" customHeight="1">
      <c r="F2918" s="14"/>
    </row>
    <row r="2919" ht="22.5" customHeight="1">
      <c r="F2919" s="14"/>
    </row>
    <row r="2920" ht="22.5" customHeight="1">
      <c r="F2920" s="14"/>
    </row>
    <row r="2921" ht="22.5" customHeight="1">
      <c r="F2921" s="14"/>
    </row>
    <row r="2922" ht="22.5" customHeight="1">
      <c r="F2922" s="14"/>
    </row>
    <row r="2923" ht="22.5" customHeight="1">
      <c r="F2923" s="14"/>
    </row>
    <row r="2924" ht="22.5" customHeight="1">
      <c r="F2924" s="14"/>
    </row>
    <row r="2925" ht="22.5" customHeight="1">
      <c r="F2925" s="14"/>
    </row>
    <row r="2926" ht="22.5" customHeight="1">
      <c r="F2926" s="14"/>
    </row>
    <row r="2927" ht="22.5" customHeight="1">
      <c r="F2927" s="14"/>
    </row>
    <row r="2928" ht="22.5" customHeight="1">
      <c r="F2928" s="14"/>
    </row>
    <row r="2929" ht="22.5" customHeight="1">
      <c r="F2929" s="14"/>
    </row>
    <row r="2930" ht="22.5" customHeight="1">
      <c r="F2930" s="14"/>
    </row>
    <row r="2931" ht="22.5" customHeight="1">
      <c r="F2931" s="14"/>
    </row>
    <row r="2932" ht="22.5" customHeight="1">
      <c r="F2932" s="14"/>
    </row>
    <row r="2933" ht="22.5" customHeight="1">
      <c r="F2933" s="14"/>
    </row>
    <row r="2934" ht="22.5" customHeight="1">
      <c r="F2934" s="14"/>
    </row>
    <row r="2935" ht="22.5" customHeight="1">
      <c r="F2935" s="14"/>
    </row>
    <row r="2936" ht="22.5" customHeight="1">
      <c r="F2936" s="14"/>
    </row>
    <row r="2937" ht="22.5" customHeight="1">
      <c r="F2937" s="14"/>
    </row>
    <row r="2938" ht="22.5" customHeight="1">
      <c r="F2938" s="14"/>
    </row>
    <row r="2939" ht="22.5" customHeight="1">
      <c r="F2939" s="14"/>
    </row>
    <row r="2940" ht="22.5" customHeight="1">
      <c r="F2940" s="14"/>
    </row>
    <row r="2941" ht="22.5" customHeight="1">
      <c r="F2941" s="14"/>
    </row>
    <row r="2942" ht="22.5" customHeight="1">
      <c r="F2942" s="14"/>
    </row>
    <row r="2943" ht="22.5" customHeight="1">
      <c r="F2943" s="14"/>
    </row>
    <row r="2944" ht="22.5" customHeight="1">
      <c r="F2944" s="14"/>
    </row>
    <row r="2945" ht="22.5" customHeight="1">
      <c r="F2945" s="14"/>
    </row>
    <row r="2946" ht="22.5" customHeight="1">
      <c r="F2946" s="14"/>
    </row>
    <row r="2947" ht="22.5" customHeight="1">
      <c r="F2947" s="14"/>
    </row>
    <row r="2948" ht="22.5" customHeight="1">
      <c r="F2948" s="14"/>
    </row>
    <row r="2949" ht="22.5" customHeight="1">
      <c r="F2949" s="14"/>
    </row>
    <row r="2950" ht="22.5" customHeight="1">
      <c r="F2950" s="14"/>
    </row>
    <row r="2951" ht="22.5" customHeight="1">
      <c r="F2951" s="14"/>
    </row>
    <row r="2952" ht="22.5" customHeight="1">
      <c r="F2952" s="14"/>
    </row>
    <row r="2953" ht="22.5" customHeight="1">
      <c r="F2953" s="14"/>
    </row>
    <row r="2954" ht="22.5" customHeight="1">
      <c r="F2954" s="14"/>
    </row>
    <row r="2955" ht="22.5" customHeight="1">
      <c r="F2955" s="14"/>
    </row>
    <row r="2956" ht="22.5" customHeight="1">
      <c r="F2956" s="14"/>
    </row>
    <row r="2957" ht="22.5" customHeight="1">
      <c r="F2957" s="14"/>
    </row>
    <row r="2958" ht="22.5" customHeight="1">
      <c r="F2958" s="14"/>
    </row>
    <row r="2959" ht="22.5" customHeight="1">
      <c r="F2959" s="14"/>
    </row>
    <row r="2960" ht="22.5" customHeight="1">
      <c r="F2960" s="14"/>
    </row>
    <row r="2961" ht="22.5" customHeight="1">
      <c r="F2961" s="14"/>
    </row>
    <row r="2962" ht="22.5" customHeight="1">
      <c r="F2962" s="14"/>
    </row>
    <row r="2963" ht="22.5" customHeight="1">
      <c r="F2963" s="14"/>
    </row>
    <row r="2964" ht="22.5" customHeight="1">
      <c r="F2964" s="14"/>
    </row>
    <row r="2965" ht="22.5" customHeight="1">
      <c r="F2965" s="14"/>
    </row>
    <row r="2966" ht="22.5" customHeight="1">
      <c r="F2966" s="14"/>
    </row>
    <row r="2967" ht="22.5" customHeight="1">
      <c r="F2967" s="14"/>
    </row>
    <row r="2968" ht="22.5" customHeight="1">
      <c r="F2968" s="14"/>
    </row>
    <row r="2969" ht="22.5" customHeight="1">
      <c r="F2969" s="14"/>
    </row>
    <row r="2970" ht="22.5" customHeight="1">
      <c r="F2970" s="14"/>
    </row>
    <row r="2971" ht="22.5" customHeight="1">
      <c r="F2971" s="14"/>
    </row>
    <row r="2972" ht="22.5" customHeight="1">
      <c r="F2972" s="14"/>
    </row>
    <row r="2973" ht="22.5" customHeight="1">
      <c r="F2973" s="14"/>
    </row>
    <row r="2974" ht="22.5" customHeight="1">
      <c r="F2974" s="14"/>
    </row>
    <row r="2975" ht="22.5" customHeight="1">
      <c r="F2975" s="14"/>
    </row>
    <row r="2976" ht="22.5" customHeight="1">
      <c r="F2976" s="14"/>
    </row>
    <row r="2977" ht="22.5" customHeight="1">
      <c r="F2977" s="14"/>
    </row>
    <row r="2978" ht="22.5" customHeight="1">
      <c r="F2978" s="14"/>
    </row>
    <row r="2979" ht="22.5" customHeight="1">
      <c r="F2979" s="14"/>
    </row>
    <row r="2980" ht="22.5" customHeight="1">
      <c r="F2980" s="14"/>
    </row>
    <row r="2981" ht="22.5" customHeight="1">
      <c r="F2981" s="14"/>
    </row>
    <row r="2982" ht="22.5" customHeight="1">
      <c r="F2982" s="14"/>
    </row>
    <row r="2983" ht="22.5" customHeight="1">
      <c r="F2983" s="14"/>
    </row>
    <row r="2984" ht="22.5" customHeight="1">
      <c r="F2984" s="14"/>
    </row>
    <row r="2985" ht="22.5" customHeight="1">
      <c r="F2985" s="14"/>
    </row>
    <row r="2986" ht="22.5" customHeight="1">
      <c r="F2986" s="14"/>
    </row>
    <row r="2987" ht="22.5" customHeight="1">
      <c r="F2987" s="14"/>
    </row>
    <row r="2988" ht="22.5" customHeight="1">
      <c r="F2988" s="14"/>
    </row>
    <row r="2989" ht="22.5" customHeight="1">
      <c r="F2989" s="14"/>
    </row>
    <row r="2990" ht="22.5" customHeight="1">
      <c r="F2990" s="14"/>
    </row>
    <row r="2991" ht="22.5" customHeight="1">
      <c r="F2991" s="14"/>
    </row>
    <row r="2992" ht="22.5" customHeight="1">
      <c r="F2992" s="14"/>
    </row>
    <row r="2993" ht="22.5" customHeight="1">
      <c r="F2993" s="14"/>
    </row>
    <row r="2994" ht="22.5" customHeight="1">
      <c r="F2994" s="14"/>
    </row>
    <row r="2995" ht="22.5" customHeight="1">
      <c r="F2995" s="14"/>
    </row>
    <row r="2996" ht="22.5" customHeight="1">
      <c r="F2996" s="14"/>
    </row>
    <row r="2997" ht="22.5" customHeight="1">
      <c r="F2997" s="14"/>
    </row>
    <row r="2998" ht="22.5" customHeight="1">
      <c r="F2998" s="14"/>
    </row>
    <row r="2999" ht="22.5" customHeight="1">
      <c r="F2999" s="14"/>
    </row>
    <row r="3000" ht="22.5" customHeight="1">
      <c r="F3000" s="14"/>
    </row>
    <row r="3001" ht="22.5" customHeight="1">
      <c r="F3001" s="14"/>
    </row>
    <row r="3002" ht="22.5" customHeight="1">
      <c r="F3002" s="14"/>
    </row>
    <row r="3003" ht="22.5" customHeight="1">
      <c r="F3003" s="14"/>
    </row>
    <row r="3004" ht="22.5" customHeight="1">
      <c r="F3004" s="14"/>
    </row>
    <row r="3005" ht="22.5" customHeight="1">
      <c r="F3005" s="14"/>
    </row>
    <row r="3006" ht="22.5" customHeight="1">
      <c r="F3006" s="14"/>
    </row>
    <row r="3007" ht="22.5" customHeight="1">
      <c r="F3007" s="14"/>
    </row>
    <row r="3008" ht="22.5" customHeight="1">
      <c r="F3008" s="14"/>
    </row>
    <row r="3009" ht="22.5" customHeight="1">
      <c r="F3009" s="14"/>
    </row>
    <row r="3010" ht="22.5" customHeight="1">
      <c r="F3010" s="14"/>
    </row>
    <row r="3011" ht="22.5" customHeight="1">
      <c r="F3011" s="14"/>
    </row>
    <row r="3012" ht="22.5" customHeight="1">
      <c r="F3012" s="14"/>
    </row>
    <row r="3013" ht="22.5" customHeight="1">
      <c r="F3013" s="14"/>
    </row>
    <row r="3014" ht="22.5" customHeight="1">
      <c r="F3014" s="14"/>
    </row>
    <row r="3015" ht="22.5" customHeight="1">
      <c r="F3015" s="14"/>
    </row>
    <row r="3016" ht="22.5" customHeight="1">
      <c r="F3016" s="14"/>
    </row>
    <row r="3017" ht="22.5" customHeight="1">
      <c r="F3017" s="14"/>
    </row>
    <row r="3018" ht="22.5" customHeight="1">
      <c r="F3018" s="14"/>
    </row>
    <row r="3019" ht="22.5" customHeight="1">
      <c r="F3019" s="14"/>
    </row>
    <row r="3020" ht="22.5" customHeight="1">
      <c r="F3020" s="14"/>
    </row>
    <row r="3021" ht="22.5" customHeight="1">
      <c r="F3021" s="14"/>
    </row>
    <row r="3022" ht="22.5" customHeight="1">
      <c r="F3022" s="14"/>
    </row>
    <row r="3023" ht="22.5" customHeight="1">
      <c r="F3023" s="14"/>
    </row>
    <row r="3024" ht="22.5" customHeight="1">
      <c r="F3024" s="14"/>
    </row>
    <row r="3025" ht="22.5" customHeight="1">
      <c r="F3025" s="14"/>
    </row>
    <row r="3026" ht="22.5" customHeight="1">
      <c r="F3026" s="14"/>
    </row>
    <row r="3027" ht="22.5" customHeight="1">
      <c r="F3027" s="14"/>
    </row>
    <row r="3028" ht="22.5" customHeight="1">
      <c r="F3028" s="14"/>
    </row>
    <row r="3029" ht="22.5" customHeight="1">
      <c r="F3029" s="14"/>
    </row>
    <row r="3030" ht="22.5" customHeight="1">
      <c r="F3030" s="14"/>
    </row>
    <row r="3031" ht="22.5" customHeight="1">
      <c r="F3031" s="14"/>
    </row>
    <row r="3032" ht="22.5" customHeight="1">
      <c r="F3032" s="14"/>
    </row>
    <row r="3033" ht="22.5" customHeight="1">
      <c r="F3033" s="14"/>
    </row>
    <row r="3034" ht="22.5" customHeight="1">
      <c r="F3034" s="14"/>
    </row>
    <row r="3035" ht="22.5" customHeight="1">
      <c r="F3035" s="14"/>
    </row>
    <row r="3036" ht="22.5" customHeight="1">
      <c r="F3036" s="14"/>
    </row>
    <row r="3037" ht="22.5" customHeight="1">
      <c r="F3037" s="14"/>
    </row>
    <row r="3038" ht="22.5" customHeight="1">
      <c r="F3038" s="14"/>
    </row>
    <row r="3039" ht="22.5" customHeight="1">
      <c r="F3039" s="14"/>
    </row>
    <row r="3040" ht="22.5" customHeight="1">
      <c r="F3040" s="14"/>
    </row>
    <row r="3041" ht="22.5" customHeight="1">
      <c r="F3041" s="14"/>
    </row>
    <row r="3042" ht="22.5" customHeight="1">
      <c r="F3042" s="14"/>
    </row>
    <row r="3043" ht="22.5" customHeight="1">
      <c r="F3043" s="14"/>
    </row>
    <row r="3044" ht="22.5" customHeight="1">
      <c r="F3044" s="14"/>
    </row>
    <row r="3045" ht="22.5" customHeight="1">
      <c r="F3045" s="14"/>
    </row>
    <row r="3046" ht="22.5" customHeight="1">
      <c r="F3046" s="14"/>
    </row>
    <row r="3047" ht="22.5" customHeight="1">
      <c r="F3047" s="14"/>
    </row>
    <row r="3048" ht="22.5" customHeight="1">
      <c r="F3048" s="14"/>
    </row>
    <row r="3049" ht="22.5" customHeight="1">
      <c r="F3049" s="14"/>
    </row>
    <row r="3050" ht="22.5" customHeight="1">
      <c r="F3050" s="14"/>
    </row>
    <row r="3051" ht="22.5" customHeight="1">
      <c r="F3051" s="14"/>
    </row>
    <row r="3052" ht="22.5" customHeight="1">
      <c r="F3052" s="14"/>
    </row>
    <row r="3053" ht="22.5" customHeight="1">
      <c r="F3053" s="14"/>
    </row>
    <row r="3054" ht="22.5" customHeight="1">
      <c r="F3054" s="14"/>
    </row>
    <row r="3055" ht="22.5" customHeight="1">
      <c r="F3055" s="14"/>
    </row>
    <row r="3056" ht="22.5" customHeight="1">
      <c r="F3056" s="14"/>
    </row>
    <row r="3057" ht="22.5" customHeight="1">
      <c r="F3057" s="14"/>
    </row>
    <row r="3058" ht="22.5" customHeight="1">
      <c r="F3058" s="14"/>
    </row>
    <row r="3059" ht="22.5" customHeight="1">
      <c r="F3059" s="14"/>
    </row>
    <row r="3060" ht="22.5" customHeight="1">
      <c r="F3060" s="14"/>
    </row>
    <row r="3061" ht="22.5" customHeight="1">
      <c r="F3061" s="14"/>
    </row>
    <row r="3062" ht="22.5" customHeight="1">
      <c r="F3062" s="14"/>
    </row>
    <row r="3063" ht="22.5" customHeight="1">
      <c r="F3063" s="14"/>
    </row>
    <row r="3064" ht="22.5" customHeight="1">
      <c r="F3064" s="14"/>
    </row>
    <row r="3065" ht="22.5" customHeight="1">
      <c r="F3065" s="14"/>
    </row>
    <row r="3066" ht="22.5" customHeight="1">
      <c r="F3066" s="14"/>
    </row>
    <row r="3067" ht="22.5" customHeight="1">
      <c r="F3067" s="14"/>
    </row>
    <row r="3068" ht="22.5" customHeight="1">
      <c r="F3068" s="14"/>
    </row>
    <row r="3069" ht="22.5" customHeight="1">
      <c r="F3069" s="14"/>
    </row>
    <row r="3070" ht="22.5" customHeight="1">
      <c r="F3070" s="14"/>
    </row>
    <row r="3071" ht="22.5" customHeight="1">
      <c r="F3071" s="14"/>
    </row>
    <row r="3072" ht="22.5" customHeight="1">
      <c r="F3072" s="14"/>
    </row>
    <row r="3073" ht="22.5" customHeight="1">
      <c r="F3073" s="14"/>
    </row>
    <row r="3074" ht="22.5" customHeight="1">
      <c r="F3074" s="14"/>
    </row>
    <row r="3075" ht="22.5" customHeight="1">
      <c r="F3075" s="14"/>
    </row>
    <row r="3076" ht="22.5" customHeight="1">
      <c r="F3076" s="14"/>
    </row>
    <row r="3077" ht="22.5" customHeight="1">
      <c r="F3077" s="14"/>
    </row>
    <row r="3078" ht="22.5" customHeight="1">
      <c r="F3078" s="14"/>
    </row>
    <row r="3079" ht="22.5" customHeight="1">
      <c r="F3079" s="14"/>
    </row>
    <row r="3080" ht="22.5" customHeight="1">
      <c r="F3080" s="14"/>
    </row>
    <row r="3081" ht="22.5" customHeight="1">
      <c r="F3081" s="14"/>
    </row>
    <row r="3082" ht="22.5" customHeight="1">
      <c r="F3082" s="14"/>
    </row>
    <row r="3083" ht="22.5" customHeight="1">
      <c r="F3083" s="14"/>
    </row>
    <row r="3084" ht="22.5" customHeight="1">
      <c r="F3084" s="14"/>
    </row>
    <row r="3085" ht="22.5" customHeight="1">
      <c r="F3085" s="14"/>
    </row>
    <row r="3086" ht="22.5" customHeight="1">
      <c r="F3086" s="14"/>
    </row>
    <row r="3087" ht="22.5" customHeight="1">
      <c r="F3087" s="14"/>
    </row>
    <row r="3088" ht="22.5" customHeight="1">
      <c r="F3088" s="14"/>
    </row>
    <row r="3089" ht="22.5" customHeight="1">
      <c r="F3089" s="14"/>
    </row>
    <row r="3090" ht="22.5" customHeight="1">
      <c r="F3090" s="14"/>
    </row>
    <row r="3091" ht="22.5" customHeight="1">
      <c r="F3091" s="14"/>
    </row>
    <row r="3092" ht="22.5" customHeight="1">
      <c r="F3092" s="14"/>
    </row>
    <row r="3093" ht="22.5" customHeight="1">
      <c r="F3093" s="14"/>
    </row>
    <row r="3094" ht="22.5" customHeight="1">
      <c r="F3094" s="14"/>
    </row>
    <row r="3095" ht="22.5" customHeight="1">
      <c r="F3095" s="14"/>
    </row>
    <row r="3096" ht="22.5" customHeight="1">
      <c r="F3096" s="14"/>
    </row>
    <row r="3097" ht="22.5" customHeight="1">
      <c r="F3097" s="14"/>
    </row>
    <row r="3098" ht="22.5" customHeight="1">
      <c r="F3098" s="14"/>
    </row>
    <row r="3099" ht="22.5" customHeight="1">
      <c r="F3099" s="14"/>
    </row>
    <row r="3100" ht="22.5" customHeight="1">
      <c r="F3100" s="14"/>
    </row>
    <row r="3101" ht="22.5" customHeight="1">
      <c r="F3101" s="14"/>
    </row>
    <row r="3102" ht="22.5" customHeight="1">
      <c r="F3102" s="14"/>
    </row>
    <row r="3103" ht="22.5" customHeight="1">
      <c r="F3103" s="14"/>
    </row>
    <row r="3104" ht="22.5" customHeight="1">
      <c r="F3104" s="14"/>
    </row>
    <row r="3105" ht="22.5" customHeight="1">
      <c r="F3105" s="14"/>
    </row>
    <row r="3106" ht="22.5" customHeight="1">
      <c r="F3106" s="14"/>
    </row>
    <row r="3107" ht="22.5" customHeight="1">
      <c r="F3107" s="14"/>
    </row>
    <row r="3108" ht="22.5" customHeight="1">
      <c r="F3108" s="14"/>
    </row>
    <row r="3109" ht="22.5" customHeight="1">
      <c r="F3109" s="14"/>
    </row>
    <row r="3110" ht="22.5" customHeight="1">
      <c r="F3110" s="14"/>
    </row>
    <row r="3111" ht="22.5" customHeight="1">
      <c r="F3111" s="14"/>
    </row>
    <row r="3112" ht="22.5" customHeight="1">
      <c r="F3112" s="14"/>
    </row>
    <row r="3113" ht="22.5" customHeight="1">
      <c r="F3113" s="14"/>
    </row>
    <row r="3114" ht="22.5" customHeight="1">
      <c r="F3114" s="14"/>
    </row>
    <row r="3115" ht="22.5" customHeight="1">
      <c r="F3115" s="14"/>
    </row>
    <row r="3116" ht="22.5" customHeight="1">
      <c r="F3116" s="14"/>
    </row>
    <row r="3117" ht="22.5" customHeight="1">
      <c r="F3117" s="14"/>
    </row>
    <row r="3118" ht="22.5" customHeight="1">
      <c r="F3118" s="14"/>
    </row>
    <row r="3119" ht="22.5" customHeight="1">
      <c r="F3119" s="14"/>
    </row>
    <row r="3120" ht="22.5" customHeight="1">
      <c r="F3120" s="14"/>
    </row>
    <row r="3121" ht="22.5" customHeight="1">
      <c r="F3121" s="14"/>
    </row>
    <row r="3122" ht="22.5" customHeight="1">
      <c r="F3122" s="14"/>
    </row>
    <row r="3123" ht="22.5" customHeight="1">
      <c r="F3123" s="14"/>
    </row>
    <row r="3124" ht="22.5" customHeight="1">
      <c r="F3124" s="14"/>
    </row>
    <row r="3125" ht="22.5" customHeight="1">
      <c r="F3125" s="14"/>
    </row>
    <row r="3126" ht="22.5" customHeight="1">
      <c r="F3126" s="14"/>
    </row>
    <row r="3127" ht="22.5" customHeight="1">
      <c r="F3127" s="14"/>
    </row>
    <row r="3128" ht="22.5" customHeight="1">
      <c r="F3128" s="14"/>
    </row>
    <row r="3129" ht="22.5" customHeight="1">
      <c r="F3129" s="14"/>
    </row>
    <row r="3130" ht="22.5" customHeight="1">
      <c r="F3130" s="14"/>
    </row>
    <row r="3131" ht="22.5" customHeight="1">
      <c r="F3131" s="14"/>
    </row>
    <row r="3132" ht="22.5" customHeight="1">
      <c r="F3132" s="14"/>
    </row>
    <row r="3133" ht="22.5" customHeight="1">
      <c r="F3133" s="14"/>
    </row>
    <row r="3134" ht="22.5" customHeight="1">
      <c r="F3134" s="14"/>
    </row>
    <row r="3135" ht="22.5" customHeight="1">
      <c r="F3135" s="14"/>
    </row>
    <row r="3136" ht="22.5" customHeight="1">
      <c r="F3136" s="14"/>
    </row>
    <row r="3137" ht="22.5" customHeight="1">
      <c r="F3137" s="14"/>
    </row>
    <row r="3138" ht="22.5" customHeight="1">
      <c r="F3138" s="14"/>
    </row>
    <row r="3139" ht="22.5" customHeight="1">
      <c r="F3139" s="14"/>
    </row>
    <row r="3140" ht="22.5" customHeight="1">
      <c r="F3140" s="14"/>
    </row>
    <row r="3141" ht="22.5" customHeight="1">
      <c r="F3141" s="14"/>
    </row>
    <row r="3142" ht="22.5" customHeight="1">
      <c r="F3142" s="14"/>
    </row>
    <row r="3143" ht="22.5" customHeight="1">
      <c r="F3143" s="14"/>
    </row>
    <row r="3144" ht="22.5" customHeight="1">
      <c r="F3144" s="14"/>
    </row>
    <row r="3145" ht="22.5" customHeight="1">
      <c r="F3145" s="14"/>
    </row>
    <row r="3146" ht="22.5" customHeight="1">
      <c r="F3146" s="14"/>
    </row>
    <row r="3147" ht="22.5" customHeight="1">
      <c r="F3147" s="14"/>
    </row>
    <row r="3148" ht="22.5" customHeight="1">
      <c r="F3148" s="14"/>
    </row>
    <row r="3149" ht="22.5" customHeight="1">
      <c r="F3149" s="14"/>
    </row>
    <row r="3150" ht="22.5" customHeight="1">
      <c r="F3150" s="14"/>
    </row>
    <row r="3151" ht="22.5" customHeight="1">
      <c r="F3151" s="14"/>
    </row>
    <row r="3152" ht="22.5" customHeight="1">
      <c r="F3152" s="14"/>
    </row>
    <row r="3153" ht="22.5" customHeight="1">
      <c r="F3153" s="14"/>
    </row>
    <row r="3154" ht="22.5" customHeight="1">
      <c r="F3154" s="14"/>
    </row>
    <row r="3155" ht="22.5" customHeight="1">
      <c r="F3155" s="14"/>
    </row>
    <row r="3156" ht="22.5" customHeight="1">
      <c r="F3156" s="14"/>
    </row>
    <row r="3157" ht="22.5" customHeight="1">
      <c r="F3157" s="14"/>
    </row>
    <row r="3158" ht="22.5" customHeight="1">
      <c r="F3158" s="14"/>
    </row>
    <row r="3159" ht="22.5" customHeight="1">
      <c r="F3159" s="14"/>
    </row>
    <row r="3160" ht="22.5" customHeight="1">
      <c r="F3160" s="14"/>
    </row>
    <row r="3161" ht="22.5" customHeight="1">
      <c r="F3161" s="14"/>
    </row>
    <row r="3162" ht="22.5" customHeight="1">
      <c r="F3162" s="14"/>
    </row>
    <row r="3163" ht="22.5" customHeight="1">
      <c r="F3163" s="14"/>
    </row>
    <row r="3164" ht="22.5" customHeight="1">
      <c r="F3164" s="14"/>
    </row>
    <row r="3165" ht="22.5" customHeight="1">
      <c r="F3165" s="14"/>
    </row>
    <row r="3166" ht="22.5" customHeight="1">
      <c r="F3166" s="14"/>
    </row>
    <row r="3167" ht="22.5" customHeight="1">
      <c r="F3167" s="14"/>
    </row>
    <row r="3168" ht="22.5" customHeight="1">
      <c r="F3168" s="14"/>
    </row>
    <row r="3169" ht="22.5" customHeight="1">
      <c r="F3169" s="14"/>
    </row>
    <row r="3170" ht="22.5" customHeight="1">
      <c r="F3170" s="14"/>
    </row>
    <row r="3171" ht="22.5" customHeight="1">
      <c r="F3171" s="14"/>
    </row>
    <row r="3172" ht="22.5" customHeight="1">
      <c r="F3172" s="14"/>
    </row>
    <row r="3173" ht="22.5" customHeight="1">
      <c r="F3173" s="14"/>
    </row>
    <row r="3174" ht="22.5" customHeight="1">
      <c r="F3174" s="14"/>
    </row>
    <row r="3175" ht="22.5" customHeight="1">
      <c r="F3175" s="14"/>
    </row>
    <row r="3176" ht="22.5" customHeight="1">
      <c r="F3176" s="14"/>
    </row>
    <row r="3177" ht="22.5" customHeight="1">
      <c r="F3177" s="14"/>
    </row>
    <row r="3178" ht="22.5" customHeight="1">
      <c r="F3178" s="14"/>
    </row>
    <row r="3179" ht="22.5" customHeight="1">
      <c r="F3179" s="14"/>
    </row>
    <row r="3180" ht="22.5" customHeight="1">
      <c r="F3180" s="14"/>
    </row>
    <row r="3181" ht="22.5" customHeight="1">
      <c r="F3181" s="14"/>
    </row>
    <row r="3182" ht="22.5" customHeight="1">
      <c r="F3182" s="14"/>
    </row>
    <row r="3183" ht="22.5" customHeight="1">
      <c r="F3183" s="14"/>
    </row>
    <row r="3184" ht="22.5" customHeight="1">
      <c r="F3184" s="14"/>
    </row>
    <row r="3185" ht="22.5" customHeight="1">
      <c r="F3185" s="14"/>
    </row>
    <row r="3186" ht="22.5" customHeight="1">
      <c r="F3186" s="14"/>
    </row>
    <row r="3187" ht="22.5" customHeight="1">
      <c r="F3187" s="14"/>
    </row>
    <row r="3188" ht="22.5" customHeight="1">
      <c r="F3188" s="14"/>
    </row>
    <row r="3189" ht="22.5" customHeight="1">
      <c r="F3189" s="14"/>
    </row>
    <row r="3190" ht="22.5" customHeight="1">
      <c r="F3190" s="14"/>
    </row>
    <row r="3191" ht="22.5" customHeight="1">
      <c r="F3191" s="14"/>
    </row>
    <row r="3192" ht="22.5" customHeight="1">
      <c r="F3192" s="14"/>
    </row>
    <row r="3193" ht="22.5" customHeight="1">
      <c r="F3193" s="14"/>
    </row>
    <row r="3194" ht="22.5" customHeight="1">
      <c r="F3194" s="14"/>
    </row>
    <row r="3195" ht="22.5" customHeight="1">
      <c r="F3195" s="14"/>
    </row>
    <row r="3196" ht="22.5" customHeight="1">
      <c r="F3196" s="14"/>
    </row>
    <row r="3197" ht="22.5" customHeight="1">
      <c r="F3197" s="14"/>
    </row>
    <row r="3198" ht="22.5" customHeight="1">
      <c r="F3198" s="14"/>
    </row>
    <row r="3199" ht="22.5" customHeight="1">
      <c r="F3199" s="14"/>
    </row>
    <row r="3200" ht="22.5" customHeight="1">
      <c r="F3200" s="14"/>
    </row>
    <row r="3201" ht="22.5" customHeight="1">
      <c r="F3201" s="14"/>
    </row>
    <row r="3202" ht="22.5" customHeight="1">
      <c r="F3202" s="14"/>
    </row>
    <row r="3203" ht="22.5" customHeight="1">
      <c r="F3203" s="14"/>
    </row>
    <row r="3204" ht="22.5" customHeight="1">
      <c r="F3204" s="14"/>
    </row>
    <row r="3205" ht="22.5" customHeight="1">
      <c r="F3205" s="14"/>
    </row>
    <row r="3206" ht="22.5" customHeight="1">
      <c r="F3206" s="14"/>
    </row>
    <row r="3207" ht="22.5" customHeight="1">
      <c r="F3207" s="14"/>
    </row>
    <row r="3208" ht="22.5" customHeight="1">
      <c r="F3208" s="14"/>
    </row>
    <row r="3209" ht="22.5" customHeight="1">
      <c r="F3209" s="14"/>
    </row>
    <row r="3210" ht="22.5" customHeight="1">
      <c r="F3210" s="14"/>
    </row>
    <row r="3211" ht="22.5" customHeight="1">
      <c r="F3211" s="14"/>
    </row>
    <row r="3212" ht="22.5" customHeight="1">
      <c r="F3212" s="14"/>
    </row>
    <row r="3213" ht="22.5" customHeight="1">
      <c r="F3213" s="14"/>
    </row>
    <row r="3214" ht="22.5" customHeight="1">
      <c r="F3214" s="14"/>
    </row>
    <row r="3215" ht="22.5" customHeight="1">
      <c r="F3215" s="14"/>
    </row>
    <row r="3216" ht="22.5" customHeight="1">
      <c r="F3216" s="14"/>
    </row>
    <row r="3217" ht="22.5" customHeight="1">
      <c r="F3217" s="14"/>
    </row>
    <row r="3218" ht="22.5" customHeight="1">
      <c r="F3218" s="14"/>
    </row>
    <row r="3219" ht="22.5" customHeight="1">
      <c r="F3219" s="14"/>
    </row>
    <row r="3220" ht="22.5" customHeight="1">
      <c r="F3220" s="14"/>
    </row>
    <row r="3221" ht="22.5" customHeight="1">
      <c r="F3221" s="14"/>
    </row>
    <row r="3222" ht="22.5" customHeight="1">
      <c r="F3222" s="14"/>
    </row>
    <row r="3223" ht="22.5" customHeight="1">
      <c r="F3223" s="14"/>
    </row>
    <row r="3224" ht="22.5" customHeight="1">
      <c r="F3224" s="14"/>
    </row>
    <row r="3225" ht="22.5" customHeight="1">
      <c r="F3225" s="14"/>
    </row>
    <row r="3226" ht="22.5" customHeight="1">
      <c r="F3226" s="14"/>
    </row>
    <row r="3227" ht="22.5" customHeight="1">
      <c r="F3227" s="14"/>
    </row>
    <row r="3228" ht="22.5" customHeight="1">
      <c r="F3228" s="14"/>
    </row>
    <row r="3229" ht="22.5" customHeight="1">
      <c r="F3229" s="14"/>
    </row>
    <row r="3230" ht="22.5" customHeight="1">
      <c r="F3230" s="14"/>
    </row>
    <row r="3231" ht="22.5" customHeight="1">
      <c r="F3231" s="14"/>
    </row>
    <row r="3232" ht="22.5" customHeight="1">
      <c r="F3232" s="14"/>
    </row>
    <row r="3233" ht="22.5" customHeight="1">
      <c r="F3233" s="14"/>
    </row>
    <row r="3234" ht="22.5" customHeight="1">
      <c r="F3234" s="14"/>
    </row>
    <row r="3235" ht="22.5" customHeight="1">
      <c r="F3235" s="14"/>
    </row>
    <row r="3236" ht="22.5" customHeight="1">
      <c r="F3236" s="14"/>
    </row>
    <row r="3237" ht="22.5" customHeight="1">
      <c r="F3237" s="14"/>
    </row>
    <row r="3238" ht="22.5" customHeight="1">
      <c r="F3238" s="14"/>
    </row>
    <row r="3239" ht="22.5" customHeight="1">
      <c r="F3239" s="14"/>
    </row>
    <row r="3240" ht="22.5" customHeight="1">
      <c r="F3240" s="14"/>
    </row>
    <row r="3241" ht="22.5" customHeight="1">
      <c r="F3241" s="14"/>
    </row>
    <row r="3242" ht="22.5" customHeight="1">
      <c r="F3242" s="14"/>
    </row>
    <row r="3243" ht="22.5" customHeight="1">
      <c r="F3243" s="14"/>
    </row>
    <row r="3244" ht="22.5" customHeight="1">
      <c r="F3244" s="14"/>
    </row>
    <row r="3245" ht="22.5" customHeight="1">
      <c r="F3245" s="14"/>
    </row>
    <row r="3246" ht="22.5" customHeight="1">
      <c r="F3246" s="14"/>
    </row>
    <row r="3247" ht="22.5" customHeight="1">
      <c r="F3247" s="14"/>
    </row>
    <row r="3248" ht="22.5" customHeight="1">
      <c r="F3248" s="14"/>
    </row>
    <row r="3249" ht="22.5" customHeight="1">
      <c r="F3249" s="14"/>
    </row>
    <row r="3250" ht="22.5" customHeight="1">
      <c r="F3250" s="14"/>
    </row>
    <row r="3251" ht="22.5" customHeight="1">
      <c r="F3251" s="14"/>
    </row>
    <row r="3252" ht="22.5" customHeight="1">
      <c r="F3252" s="14"/>
    </row>
    <row r="3253" ht="22.5" customHeight="1">
      <c r="F3253" s="14"/>
    </row>
    <row r="3254" ht="22.5" customHeight="1">
      <c r="F3254" s="14"/>
    </row>
    <row r="3255" ht="22.5" customHeight="1">
      <c r="F3255" s="14"/>
    </row>
    <row r="3256" ht="22.5" customHeight="1">
      <c r="F3256" s="14"/>
    </row>
    <row r="3257" ht="22.5" customHeight="1">
      <c r="F3257" s="14"/>
    </row>
    <row r="3258" ht="22.5" customHeight="1">
      <c r="F3258" s="14"/>
    </row>
    <row r="3259" ht="22.5" customHeight="1">
      <c r="F3259" s="14"/>
    </row>
    <row r="3260" ht="22.5" customHeight="1">
      <c r="F3260" s="14"/>
    </row>
    <row r="3261" ht="22.5" customHeight="1">
      <c r="F3261" s="14"/>
    </row>
    <row r="3262" ht="22.5" customHeight="1">
      <c r="F3262" s="14"/>
    </row>
    <row r="3263" ht="22.5" customHeight="1">
      <c r="F3263" s="14"/>
    </row>
    <row r="3264" ht="22.5" customHeight="1">
      <c r="F3264" s="14"/>
    </row>
    <row r="3265" ht="22.5" customHeight="1">
      <c r="F3265" s="14"/>
    </row>
    <row r="3266" ht="22.5" customHeight="1">
      <c r="F3266" s="14"/>
    </row>
    <row r="3267" ht="22.5" customHeight="1">
      <c r="F3267" s="14"/>
    </row>
    <row r="3268" ht="22.5" customHeight="1">
      <c r="F3268" s="14"/>
    </row>
    <row r="3269" ht="22.5" customHeight="1">
      <c r="F3269" s="14"/>
    </row>
    <row r="3270" ht="22.5" customHeight="1">
      <c r="F3270" s="14"/>
    </row>
    <row r="3271" ht="22.5" customHeight="1">
      <c r="F3271" s="14"/>
    </row>
    <row r="3272" ht="22.5" customHeight="1">
      <c r="F3272" s="14"/>
    </row>
    <row r="3273" ht="22.5" customHeight="1">
      <c r="F3273" s="14"/>
    </row>
    <row r="3274" ht="22.5" customHeight="1">
      <c r="F3274" s="14"/>
    </row>
    <row r="3275" ht="22.5" customHeight="1">
      <c r="F3275" s="14"/>
    </row>
    <row r="3276" ht="22.5" customHeight="1">
      <c r="F3276" s="14"/>
    </row>
    <row r="3277" ht="22.5" customHeight="1">
      <c r="F3277" s="14"/>
    </row>
    <row r="3278" ht="22.5" customHeight="1">
      <c r="F3278" s="14"/>
    </row>
    <row r="3279" ht="22.5" customHeight="1">
      <c r="F3279" s="14"/>
    </row>
    <row r="3280" ht="22.5" customHeight="1">
      <c r="F3280" s="14"/>
    </row>
    <row r="3281" ht="22.5" customHeight="1">
      <c r="F3281" s="14"/>
    </row>
    <row r="3282" ht="22.5" customHeight="1">
      <c r="F3282" s="14"/>
    </row>
    <row r="3283" ht="22.5" customHeight="1">
      <c r="F3283" s="14"/>
    </row>
    <row r="3284" ht="22.5" customHeight="1">
      <c r="F3284" s="14"/>
    </row>
    <row r="3285" ht="22.5" customHeight="1">
      <c r="F3285" s="14"/>
    </row>
    <row r="3286" ht="22.5" customHeight="1">
      <c r="F3286" s="14"/>
    </row>
    <row r="3287" ht="22.5" customHeight="1">
      <c r="F3287" s="14"/>
    </row>
    <row r="3288" ht="22.5" customHeight="1">
      <c r="F3288" s="14"/>
    </row>
    <row r="3289" ht="22.5" customHeight="1">
      <c r="F3289" s="14"/>
    </row>
    <row r="3290" ht="22.5" customHeight="1">
      <c r="F3290" s="14"/>
    </row>
    <row r="3291" ht="22.5" customHeight="1">
      <c r="F3291" s="14"/>
    </row>
    <row r="3292" ht="22.5" customHeight="1">
      <c r="F3292" s="14"/>
    </row>
    <row r="3293" ht="22.5" customHeight="1">
      <c r="F3293" s="14"/>
    </row>
    <row r="3294" ht="22.5" customHeight="1">
      <c r="F3294" s="14"/>
    </row>
    <row r="3295" ht="22.5" customHeight="1">
      <c r="F3295" s="14"/>
    </row>
    <row r="3296" ht="22.5" customHeight="1">
      <c r="F3296" s="14"/>
    </row>
    <row r="3297" ht="22.5" customHeight="1">
      <c r="F3297" s="14"/>
    </row>
    <row r="3298" ht="22.5" customHeight="1">
      <c r="F3298" s="14"/>
    </row>
    <row r="3299" ht="22.5" customHeight="1">
      <c r="F3299" s="14"/>
    </row>
    <row r="3300" ht="22.5" customHeight="1">
      <c r="F3300" s="14"/>
    </row>
    <row r="3301" ht="22.5" customHeight="1">
      <c r="F3301" s="14"/>
    </row>
    <row r="3302" ht="22.5" customHeight="1">
      <c r="F3302" s="14"/>
    </row>
    <row r="3303" ht="22.5" customHeight="1">
      <c r="F3303" s="14"/>
    </row>
    <row r="3304" ht="22.5" customHeight="1">
      <c r="F3304" s="14"/>
    </row>
    <row r="3305" ht="22.5" customHeight="1">
      <c r="F3305" s="14"/>
    </row>
    <row r="3306" ht="22.5" customHeight="1">
      <c r="F3306" s="14"/>
    </row>
    <row r="3307" ht="22.5" customHeight="1">
      <c r="F3307" s="14"/>
    </row>
    <row r="3308" ht="22.5" customHeight="1">
      <c r="F3308" s="14"/>
    </row>
    <row r="3309" ht="22.5" customHeight="1">
      <c r="F3309" s="14"/>
    </row>
    <row r="3310" ht="22.5" customHeight="1">
      <c r="F3310" s="14"/>
    </row>
    <row r="3311" ht="22.5" customHeight="1">
      <c r="F3311" s="14"/>
    </row>
    <row r="3312" ht="22.5" customHeight="1">
      <c r="F3312" s="14"/>
    </row>
    <row r="3313" ht="22.5" customHeight="1">
      <c r="F3313" s="14"/>
    </row>
    <row r="3314" ht="22.5" customHeight="1">
      <c r="F3314" s="14"/>
    </row>
    <row r="3315" ht="22.5" customHeight="1">
      <c r="F3315" s="14"/>
    </row>
    <row r="3316" ht="22.5" customHeight="1">
      <c r="F3316" s="14"/>
    </row>
    <row r="3317" ht="22.5" customHeight="1">
      <c r="F3317" s="14"/>
    </row>
    <row r="3318" ht="22.5" customHeight="1">
      <c r="F3318" s="14"/>
    </row>
    <row r="3319" ht="22.5" customHeight="1">
      <c r="F3319" s="14"/>
    </row>
    <row r="3320" ht="22.5" customHeight="1">
      <c r="F3320" s="14"/>
    </row>
    <row r="3321" ht="22.5" customHeight="1">
      <c r="F3321" s="14"/>
    </row>
    <row r="3322" ht="22.5" customHeight="1">
      <c r="F3322" s="14"/>
    </row>
    <row r="3323" ht="22.5" customHeight="1">
      <c r="F3323" s="14"/>
    </row>
    <row r="3324" ht="22.5" customHeight="1">
      <c r="F3324" s="14"/>
    </row>
    <row r="3325" ht="22.5" customHeight="1">
      <c r="F3325" s="14"/>
    </row>
    <row r="3326" ht="22.5" customHeight="1">
      <c r="F3326" s="14"/>
    </row>
    <row r="3327" ht="22.5" customHeight="1">
      <c r="F3327" s="14"/>
    </row>
    <row r="3328" ht="22.5" customHeight="1">
      <c r="F3328" s="14"/>
    </row>
    <row r="3329" ht="22.5" customHeight="1">
      <c r="F3329" s="14"/>
    </row>
    <row r="3330" ht="22.5" customHeight="1">
      <c r="F3330" s="14"/>
    </row>
    <row r="3331" ht="22.5" customHeight="1">
      <c r="F3331" s="14"/>
    </row>
    <row r="3332" ht="22.5" customHeight="1">
      <c r="F3332" s="14"/>
    </row>
    <row r="3333" ht="22.5" customHeight="1">
      <c r="F3333" s="14"/>
    </row>
    <row r="3334" ht="22.5" customHeight="1">
      <c r="F3334" s="14"/>
    </row>
    <row r="3335" ht="22.5" customHeight="1">
      <c r="F3335" s="14"/>
    </row>
    <row r="3336" ht="22.5" customHeight="1">
      <c r="F3336" s="14"/>
    </row>
    <row r="3337" ht="22.5" customHeight="1">
      <c r="F3337" s="14"/>
    </row>
    <row r="3338" ht="22.5" customHeight="1">
      <c r="F3338" s="14"/>
    </row>
    <row r="3339" ht="22.5" customHeight="1">
      <c r="F3339" s="14"/>
    </row>
    <row r="3340" ht="22.5" customHeight="1">
      <c r="F3340" s="14"/>
    </row>
    <row r="3341" ht="22.5" customHeight="1">
      <c r="F3341" s="14"/>
    </row>
    <row r="3342" ht="22.5" customHeight="1">
      <c r="F3342" s="14"/>
    </row>
    <row r="3343" ht="22.5" customHeight="1">
      <c r="F3343" s="14"/>
    </row>
    <row r="3344" ht="22.5" customHeight="1">
      <c r="F3344" s="14"/>
    </row>
    <row r="3345" ht="22.5" customHeight="1">
      <c r="F3345" s="14"/>
    </row>
    <row r="3346" ht="22.5" customHeight="1">
      <c r="F3346" s="14"/>
    </row>
    <row r="3347" ht="22.5" customHeight="1">
      <c r="F3347" s="14"/>
    </row>
    <row r="3348" ht="22.5" customHeight="1">
      <c r="F3348" s="14"/>
    </row>
    <row r="3349" ht="22.5" customHeight="1">
      <c r="F3349" s="14"/>
    </row>
    <row r="3350" ht="22.5" customHeight="1">
      <c r="F3350" s="14"/>
    </row>
    <row r="3351" ht="22.5" customHeight="1">
      <c r="F3351" s="14"/>
    </row>
    <row r="3352" ht="22.5" customHeight="1">
      <c r="F3352" s="14"/>
    </row>
    <row r="3353" ht="22.5" customHeight="1">
      <c r="F3353" s="14"/>
    </row>
    <row r="3354" ht="22.5" customHeight="1">
      <c r="F3354" s="14"/>
    </row>
    <row r="3355" ht="22.5" customHeight="1">
      <c r="F3355" s="14"/>
    </row>
    <row r="3356" ht="22.5" customHeight="1">
      <c r="F3356" s="14"/>
    </row>
    <row r="3357" ht="22.5" customHeight="1">
      <c r="F3357" s="14"/>
    </row>
    <row r="3358" ht="22.5" customHeight="1">
      <c r="F3358" s="14"/>
    </row>
    <row r="3359" ht="22.5" customHeight="1">
      <c r="F3359" s="14"/>
    </row>
    <row r="3360" ht="22.5" customHeight="1">
      <c r="F3360" s="14"/>
    </row>
    <row r="3361" ht="22.5" customHeight="1">
      <c r="F3361" s="14"/>
    </row>
    <row r="3362" ht="22.5" customHeight="1">
      <c r="F3362" s="14"/>
    </row>
    <row r="3363" ht="22.5" customHeight="1">
      <c r="F3363" s="14"/>
    </row>
    <row r="3364" ht="22.5" customHeight="1">
      <c r="F3364" s="14"/>
    </row>
    <row r="3365" ht="22.5" customHeight="1">
      <c r="F3365" s="14"/>
    </row>
    <row r="3366" ht="22.5" customHeight="1">
      <c r="F3366" s="14"/>
    </row>
    <row r="3367" ht="22.5" customHeight="1">
      <c r="F3367" s="14"/>
    </row>
    <row r="3368" ht="22.5" customHeight="1">
      <c r="F3368" s="14"/>
    </row>
    <row r="3369" ht="22.5" customHeight="1">
      <c r="F3369" s="14"/>
    </row>
    <row r="3370" ht="22.5" customHeight="1">
      <c r="F3370" s="14"/>
    </row>
    <row r="3371" ht="22.5" customHeight="1">
      <c r="F3371" s="14"/>
    </row>
    <row r="3372" ht="22.5" customHeight="1">
      <c r="F3372" s="14"/>
    </row>
    <row r="3373" ht="22.5" customHeight="1">
      <c r="F3373" s="14"/>
    </row>
    <row r="3374" ht="22.5" customHeight="1">
      <c r="F3374" s="14"/>
    </row>
    <row r="3375" ht="22.5" customHeight="1">
      <c r="F3375" s="14"/>
    </row>
    <row r="3376" ht="22.5" customHeight="1">
      <c r="F3376" s="14"/>
    </row>
    <row r="3377" ht="22.5" customHeight="1">
      <c r="F3377" s="14"/>
    </row>
    <row r="3378" ht="22.5" customHeight="1">
      <c r="F3378" s="14"/>
    </row>
    <row r="3379" ht="22.5" customHeight="1">
      <c r="F3379" s="14"/>
    </row>
    <row r="3380" ht="22.5" customHeight="1">
      <c r="F3380" s="14"/>
    </row>
    <row r="3381" ht="22.5" customHeight="1">
      <c r="F3381" s="14"/>
    </row>
    <row r="3382" ht="22.5" customHeight="1">
      <c r="F3382" s="14"/>
    </row>
    <row r="3383" ht="22.5" customHeight="1">
      <c r="F3383" s="14"/>
    </row>
    <row r="3384" ht="22.5" customHeight="1">
      <c r="F3384" s="14"/>
    </row>
    <row r="3385" ht="22.5" customHeight="1">
      <c r="F3385" s="14"/>
    </row>
    <row r="3386" ht="22.5" customHeight="1">
      <c r="F3386" s="14"/>
    </row>
    <row r="3387" ht="22.5" customHeight="1">
      <c r="F3387" s="14"/>
    </row>
    <row r="3388" ht="22.5" customHeight="1">
      <c r="F3388" s="14"/>
    </row>
    <row r="3389" ht="22.5" customHeight="1">
      <c r="F3389" s="14"/>
    </row>
    <row r="3390" ht="22.5" customHeight="1">
      <c r="F3390" s="14"/>
    </row>
    <row r="3391" ht="22.5" customHeight="1">
      <c r="F3391" s="14"/>
    </row>
    <row r="3392" ht="22.5" customHeight="1">
      <c r="F3392" s="14"/>
    </row>
    <row r="3393" ht="22.5" customHeight="1">
      <c r="F3393" s="14"/>
    </row>
    <row r="3394" ht="22.5" customHeight="1">
      <c r="F3394" s="14"/>
    </row>
    <row r="3395" ht="22.5" customHeight="1">
      <c r="F3395" s="14"/>
    </row>
    <row r="3396" ht="22.5" customHeight="1">
      <c r="F3396" s="14"/>
    </row>
    <row r="3397" ht="22.5" customHeight="1">
      <c r="F3397" s="14"/>
    </row>
    <row r="3398" ht="22.5" customHeight="1">
      <c r="F3398" s="14"/>
    </row>
    <row r="3399" ht="22.5" customHeight="1">
      <c r="F3399" s="14"/>
    </row>
    <row r="3400" ht="22.5" customHeight="1">
      <c r="F3400" s="14"/>
    </row>
    <row r="3401" ht="22.5" customHeight="1">
      <c r="F3401" s="14"/>
    </row>
    <row r="3402" ht="22.5" customHeight="1">
      <c r="F3402" s="14"/>
    </row>
    <row r="3403" ht="22.5" customHeight="1">
      <c r="F3403" s="14"/>
    </row>
    <row r="3404" ht="22.5" customHeight="1">
      <c r="F3404" s="14"/>
    </row>
    <row r="3405" ht="22.5" customHeight="1">
      <c r="F3405" s="14"/>
    </row>
    <row r="3406" ht="22.5" customHeight="1">
      <c r="F3406" s="14"/>
    </row>
    <row r="3407" ht="22.5" customHeight="1">
      <c r="F3407" s="14"/>
    </row>
    <row r="3408" ht="22.5" customHeight="1">
      <c r="F3408" s="14"/>
    </row>
    <row r="3409" ht="22.5" customHeight="1">
      <c r="F3409" s="14"/>
    </row>
    <row r="3410" ht="22.5" customHeight="1">
      <c r="F3410" s="14"/>
    </row>
    <row r="3411" ht="22.5" customHeight="1">
      <c r="F3411" s="14"/>
    </row>
    <row r="3412" ht="22.5" customHeight="1">
      <c r="F3412" s="14"/>
    </row>
    <row r="3413" ht="22.5" customHeight="1">
      <c r="F3413" s="14"/>
    </row>
    <row r="3414" ht="22.5" customHeight="1">
      <c r="F3414" s="14"/>
    </row>
    <row r="3415" ht="22.5" customHeight="1">
      <c r="F3415" s="14"/>
    </row>
    <row r="3416" ht="22.5" customHeight="1">
      <c r="F3416" s="14"/>
    </row>
    <row r="3417" ht="22.5" customHeight="1">
      <c r="F3417" s="14"/>
    </row>
    <row r="3418" ht="22.5" customHeight="1">
      <c r="F3418" s="14"/>
    </row>
    <row r="3419" ht="22.5" customHeight="1">
      <c r="F3419" s="14"/>
    </row>
    <row r="3420" ht="22.5" customHeight="1">
      <c r="F3420" s="14"/>
    </row>
    <row r="3421" ht="22.5" customHeight="1">
      <c r="F3421" s="14"/>
    </row>
    <row r="3422" ht="22.5" customHeight="1">
      <c r="F3422" s="14"/>
    </row>
    <row r="3423" ht="22.5" customHeight="1">
      <c r="F3423" s="14"/>
    </row>
    <row r="3424" ht="22.5" customHeight="1">
      <c r="F3424" s="14"/>
    </row>
    <row r="3425" ht="22.5" customHeight="1">
      <c r="F3425" s="14"/>
    </row>
    <row r="3426" ht="22.5" customHeight="1">
      <c r="F3426" s="14"/>
    </row>
    <row r="3427" ht="22.5" customHeight="1">
      <c r="F3427" s="14"/>
    </row>
    <row r="3428" ht="22.5" customHeight="1">
      <c r="F3428" s="14"/>
    </row>
    <row r="3429" ht="22.5" customHeight="1">
      <c r="F3429" s="14"/>
    </row>
    <row r="3430" ht="22.5" customHeight="1">
      <c r="F3430" s="14"/>
    </row>
    <row r="3431" ht="22.5" customHeight="1">
      <c r="F3431" s="14"/>
    </row>
    <row r="3432" ht="22.5" customHeight="1">
      <c r="F3432" s="14"/>
    </row>
    <row r="3433" ht="22.5" customHeight="1">
      <c r="F3433" s="14"/>
    </row>
    <row r="3434" ht="22.5" customHeight="1">
      <c r="F3434" s="14"/>
    </row>
    <row r="3435" ht="22.5" customHeight="1">
      <c r="F3435" s="14"/>
    </row>
    <row r="3436" ht="22.5" customHeight="1">
      <c r="F3436" s="14"/>
    </row>
    <row r="3437" ht="22.5" customHeight="1">
      <c r="F3437" s="14"/>
    </row>
    <row r="3438" ht="22.5" customHeight="1">
      <c r="F3438" s="14"/>
    </row>
    <row r="3439" ht="22.5" customHeight="1">
      <c r="F3439" s="14"/>
    </row>
    <row r="3440" ht="22.5" customHeight="1">
      <c r="F3440" s="14"/>
    </row>
    <row r="3441" ht="22.5" customHeight="1">
      <c r="F3441" s="14"/>
    </row>
    <row r="3442" ht="22.5" customHeight="1">
      <c r="F3442" s="14"/>
    </row>
    <row r="3443" ht="22.5" customHeight="1">
      <c r="F3443" s="14"/>
    </row>
    <row r="3444" ht="22.5" customHeight="1">
      <c r="F3444" s="14"/>
    </row>
    <row r="3445" ht="22.5" customHeight="1">
      <c r="F3445" s="14"/>
    </row>
    <row r="3446" ht="22.5" customHeight="1">
      <c r="F3446" s="14"/>
    </row>
    <row r="3447" ht="22.5" customHeight="1">
      <c r="F3447" s="14"/>
    </row>
    <row r="3448" ht="22.5" customHeight="1">
      <c r="F3448" s="14"/>
    </row>
    <row r="3449" ht="22.5" customHeight="1">
      <c r="F3449" s="14"/>
    </row>
    <row r="3450" ht="22.5" customHeight="1">
      <c r="F3450" s="14"/>
    </row>
    <row r="3451" ht="22.5" customHeight="1">
      <c r="F3451" s="14"/>
    </row>
    <row r="3452" ht="22.5" customHeight="1">
      <c r="F3452" s="14"/>
    </row>
    <row r="3453" ht="22.5" customHeight="1">
      <c r="F3453" s="14"/>
    </row>
    <row r="3454" ht="22.5" customHeight="1">
      <c r="F3454" s="14"/>
    </row>
    <row r="3455" ht="22.5" customHeight="1">
      <c r="F3455" s="14"/>
    </row>
    <row r="3456" ht="22.5" customHeight="1">
      <c r="F3456" s="14"/>
    </row>
    <row r="3457" ht="22.5" customHeight="1">
      <c r="F3457" s="14"/>
    </row>
    <row r="3458" ht="22.5" customHeight="1">
      <c r="F3458" s="14"/>
    </row>
    <row r="3459" ht="22.5" customHeight="1">
      <c r="F3459" s="14"/>
    </row>
    <row r="3460" ht="22.5" customHeight="1">
      <c r="F3460" s="14"/>
    </row>
    <row r="3461" ht="22.5" customHeight="1">
      <c r="F3461" s="14"/>
    </row>
    <row r="3462" ht="22.5" customHeight="1">
      <c r="F3462" s="14"/>
    </row>
    <row r="3463" ht="22.5" customHeight="1">
      <c r="F3463" s="14"/>
    </row>
    <row r="3464" ht="22.5" customHeight="1">
      <c r="F3464" s="14"/>
    </row>
    <row r="3465" ht="22.5" customHeight="1">
      <c r="F3465" s="14"/>
    </row>
    <row r="3466" ht="22.5" customHeight="1">
      <c r="F3466" s="14"/>
    </row>
    <row r="3467" ht="22.5" customHeight="1">
      <c r="F3467" s="14"/>
    </row>
    <row r="3468" ht="22.5" customHeight="1">
      <c r="F3468" s="14"/>
    </row>
    <row r="3469" ht="22.5" customHeight="1">
      <c r="F3469" s="14"/>
    </row>
    <row r="3470" ht="22.5" customHeight="1">
      <c r="F3470" s="14"/>
    </row>
    <row r="3471" ht="22.5" customHeight="1">
      <c r="F3471" s="14"/>
    </row>
    <row r="3472" ht="22.5" customHeight="1">
      <c r="F3472" s="14"/>
    </row>
    <row r="3473" ht="22.5" customHeight="1">
      <c r="F3473" s="14"/>
    </row>
    <row r="3474" ht="22.5" customHeight="1">
      <c r="F3474" s="14"/>
    </row>
    <row r="3475" ht="22.5" customHeight="1">
      <c r="F3475" s="14"/>
    </row>
    <row r="3476" ht="22.5" customHeight="1">
      <c r="F3476" s="14"/>
    </row>
    <row r="3477" ht="22.5" customHeight="1">
      <c r="F3477" s="14"/>
    </row>
    <row r="3478" ht="22.5" customHeight="1">
      <c r="F3478" s="14"/>
    </row>
    <row r="3479" ht="22.5" customHeight="1">
      <c r="F3479" s="14"/>
    </row>
    <row r="3480" ht="22.5" customHeight="1">
      <c r="F3480" s="14"/>
    </row>
    <row r="3481" ht="22.5" customHeight="1">
      <c r="F3481" s="14"/>
    </row>
    <row r="3482" ht="22.5" customHeight="1">
      <c r="F3482" s="14"/>
    </row>
    <row r="3483" ht="22.5" customHeight="1">
      <c r="F3483" s="14"/>
    </row>
    <row r="3484" ht="22.5" customHeight="1">
      <c r="F3484" s="14"/>
    </row>
    <row r="3485" ht="22.5" customHeight="1">
      <c r="F3485" s="14"/>
    </row>
    <row r="3486" ht="22.5" customHeight="1">
      <c r="F3486" s="14"/>
    </row>
    <row r="3487" ht="22.5" customHeight="1">
      <c r="F3487" s="14"/>
    </row>
    <row r="3488" ht="22.5" customHeight="1">
      <c r="F3488" s="14"/>
    </row>
    <row r="3489" ht="22.5" customHeight="1">
      <c r="F3489" s="14"/>
    </row>
    <row r="3490" ht="22.5" customHeight="1">
      <c r="F3490" s="14"/>
    </row>
    <row r="3491" ht="22.5" customHeight="1">
      <c r="F3491" s="14"/>
    </row>
    <row r="3492" ht="22.5" customHeight="1">
      <c r="F3492" s="14"/>
    </row>
    <row r="3493" ht="22.5" customHeight="1">
      <c r="F3493" s="14"/>
    </row>
    <row r="3494" ht="22.5" customHeight="1">
      <c r="F3494" s="14"/>
    </row>
    <row r="3495" ht="22.5" customHeight="1">
      <c r="F3495" s="14"/>
    </row>
    <row r="3496" ht="22.5" customHeight="1">
      <c r="F3496" s="14"/>
    </row>
    <row r="3497" ht="22.5" customHeight="1">
      <c r="F3497" s="14"/>
    </row>
    <row r="3498" ht="22.5" customHeight="1">
      <c r="F3498" s="14"/>
    </row>
    <row r="3499" ht="22.5" customHeight="1">
      <c r="F3499" s="14"/>
    </row>
    <row r="3500" ht="22.5" customHeight="1">
      <c r="F3500" s="14"/>
    </row>
    <row r="3501" ht="22.5" customHeight="1">
      <c r="F3501" s="14"/>
    </row>
    <row r="3502" ht="22.5" customHeight="1">
      <c r="F3502" s="14"/>
    </row>
    <row r="3503" ht="22.5" customHeight="1">
      <c r="F3503" s="14"/>
    </row>
    <row r="3504" ht="22.5" customHeight="1">
      <c r="F3504" s="14"/>
    </row>
    <row r="3505" ht="22.5" customHeight="1">
      <c r="F3505" s="14"/>
    </row>
    <row r="3506" ht="22.5" customHeight="1">
      <c r="F3506" s="14"/>
    </row>
    <row r="3507" ht="22.5" customHeight="1">
      <c r="F3507" s="14"/>
    </row>
    <row r="3508" ht="22.5" customHeight="1">
      <c r="F3508" s="14"/>
    </row>
    <row r="3509" ht="22.5" customHeight="1">
      <c r="F3509" s="14"/>
    </row>
    <row r="3510" ht="22.5" customHeight="1">
      <c r="F3510" s="14"/>
    </row>
    <row r="3511" ht="22.5" customHeight="1">
      <c r="F3511" s="14"/>
    </row>
    <row r="3512" ht="22.5" customHeight="1">
      <c r="F3512" s="14"/>
    </row>
    <row r="3513" ht="22.5" customHeight="1">
      <c r="F3513" s="14"/>
    </row>
    <row r="3514" ht="22.5" customHeight="1">
      <c r="F3514" s="14"/>
    </row>
    <row r="3515" ht="22.5" customHeight="1">
      <c r="F3515" s="14"/>
    </row>
    <row r="3516" ht="22.5" customHeight="1">
      <c r="F3516" s="14"/>
    </row>
    <row r="3517" ht="22.5" customHeight="1">
      <c r="F3517" s="14"/>
    </row>
    <row r="3518" ht="22.5" customHeight="1">
      <c r="F3518" s="14"/>
    </row>
    <row r="3519" ht="22.5" customHeight="1">
      <c r="F3519" s="14"/>
    </row>
    <row r="3520" ht="22.5" customHeight="1">
      <c r="F3520" s="14"/>
    </row>
    <row r="3521" ht="22.5" customHeight="1">
      <c r="F3521" s="14"/>
    </row>
    <row r="3522" ht="22.5" customHeight="1">
      <c r="F3522" s="14"/>
    </row>
    <row r="3523" ht="22.5" customHeight="1">
      <c r="F3523" s="14"/>
    </row>
    <row r="3524" ht="22.5" customHeight="1">
      <c r="F3524" s="14"/>
    </row>
    <row r="3525" ht="22.5" customHeight="1">
      <c r="F3525" s="14"/>
    </row>
    <row r="3526" ht="22.5" customHeight="1">
      <c r="F3526" s="14"/>
    </row>
    <row r="3527" ht="22.5" customHeight="1">
      <c r="F3527" s="14"/>
    </row>
    <row r="3528" ht="22.5" customHeight="1">
      <c r="F3528" s="14"/>
    </row>
    <row r="3529" ht="22.5" customHeight="1">
      <c r="F3529" s="14"/>
    </row>
    <row r="3530" ht="22.5" customHeight="1">
      <c r="F3530" s="14"/>
    </row>
    <row r="3531" ht="22.5" customHeight="1">
      <c r="F3531" s="14"/>
    </row>
    <row r="3532" ht="22.5" customHeight="1">
      <c r="F3532" s="14"/>
    </row>
    <row r="3533" ht="22.5" customHeight="1">
      <c r="F3533" s="14"/>
    </row>
    <row r="3534" ht="22.5" customHeight="1">
      <c r="F3534" s="14"/>
    </row>
    <row r="3535" ht="22.5" customHeight="1">
      <c r="F3535" s="14"/>
    </row>
    <row r="3536" ht="22.5" customHeight="1">
      <c r="F3536" s="14"/>
    </row>
    <row r="3537" ht="22.5" customHeight="1">
      <c r="F3537" s="14"/>
    </row>
    <row r="3538" ht="22.5" customHeight="1">
      <c r="F3538" s="14"/>
    </row>
    <row r="3539" ht="22.5" customHeight="1">
      <c r="F3539" s="14"/>
    </row>
    <row r="3540" ht="22.5" customHeight="1">
      <c r="F3540" s="14"/>
    </row>
    <row r="3541" ht="22.5" customHeight="1">
      <c r="F3541" s="14"/>
    </row>
    <row r="3542" ht="22.5" customHeight="1">
      <c r="F3542" s="14"/>
    </row>
    <row r="3543" ht="22.5" customHeight="1">
      <c r="F3543" s="14"/>
    </row>
    <row r="3544" ht="22.5" customHeight="1">
      <c r="F3544" s="14"/>
    </row>
    <row r="3545" ht="22.5" customHeight="1">
      <c r="F3545" s="14"/>
    </row>
    <row r="3546" ht="22.5" customHeight="1">
      <c r="F3546" s="14"/>
    </row>
    <row r="3547" ht="22.5" customHeight="1">
      <c r="F3547" s="14"/>
    </row>
    <row r="3548" ht="22.5" customHeight="1">
      <c r="F3548" s="14"/>
    </row>
    <row r="3549" ht="22.5" customHeight="1">
      <c r="F3549" s="14"/>
    </row>
    <row r="3550" ht="22.5" customHeight="1">
      <c r="F3550" s="14"/>
    </row>
    <row r="3551" ht="22.5" customHeight="1">
      <c r="F3551" s="14"/>
    </row>
    <row r="3552" ht="22.5" customHeight="1">
      <c r="F3552" s="14"/>
    </row>
    <row r="3553" ht="22.5" customHeight="1">
      <c r="F3553" s="14"/>
    </row>
    <row r="3554" ht="22.5" customHeight="1">
      <c r="F3554" s="14"/>
    </row>
    <row r="3555" ht="22.5" customHeight="1">
      <c r="F3555" s="14"/>
    </row>
    <row r="3556" ht="22.5" customHeight="1">
      <c r="F3556" s="14"/>
    </row>
    <row r="3557" ht="22.5" customHeight="1">
      <c r="F3557" s="14"/>
    </row>
    <row r="3558" ht="22.5" customHeight="1">
      <c r="F3558" s="14"/>
    </row>
    <row r="3559" ht="22.5" customHeight="1">
      <c r="F3559" s="14"/>
    </row>
    <row r="3560" ht="22.5" customHeight="1">
      <c r="F3560" s="14"/>
    </row>
    <row r="3561" ht="22.5" customHeight="1">
      <c r="F3561" s="14"/>
    </row>
    <row r="3562" ht="22.5" customHeight="1">
      <c r="F3562" s="14"/>
    </row>
    <row r="3563" ht="22.5" customHeight="1">
      <c r="F3563" s="14"/>
    </row>
    <row r="3564" ht="22.5" customHeight="1">
      <c r="F3564" s="14"/>
    </row>
    <row r="3565" ht="22.5" customHeight="1">
      <c r="F3565" s="14"/>
    </row>
    <row r="3566" ht="22.5" customHeight="1">
      <c r="F3566" s="14"/>
    </row>
    <row r="3567" ht="22.5" customHeight="1">
      <c r="F3567" s="14"/>
    </row>
    <row r="3568" ht="22.5" customHeight="1">
      <c r="F3568" s="14"/>
    </row>
    <row r="3569" ht="22.5" customHeight="1">
      <c r="F3569" s="14"/>
    </row>
    <row r="3570" ht="22.5" customHeight="1">
      <c r="F3570" s="14"/>
    </row>
    <row r="3571" ht="22.5" customHeight="1">
      <c r="F3571" s="14"/>
    </row>
    <row r="3572" ht="22.5" customHeight="1">
      <c r="F3572" s="14"/>
    </row>
    <row r="3573" ht="22.5" customHeight="1">
      <c r="F3573" s="14"/>
    </row>
    <row r="3574" ht="22.5" customHeight="1">
      <c r="F3574" s="14"/>
    </row>
    <row r="3575" ht="22.5" customHeight="1">
      <c r="F3575" s="14"/>
    </row>
    <row r="3576" ht="22.5" customHeight="1">
      <c r="F3576" s="14"/>
    </row>
    <row r="3577" ht="22.5" customHeight="1">
      <c r="F3577" s="14"/>
    </row>
    <row r="3578" ht="22.5" customHeight="1">
      <c r="F3578" s="14"/>
    </row>
    <row r="3579" ht="22.5" customHeight="1">
      <c r="F3579" s="14"/>
    </row>
    <row r="3580" ht="22.5" customHeight="1">
      <c r="F3580" s="14"/>
    </row>
    <row r="3581" ht="22.5" customHeight="1">
      <c r="F3581" s="14"/>
    </row>
    <row r="3582" ht="22.5" customHeight="1">
      <c r="F3582" s="14"/>
    </row>
    <row r="3583" ht="22.5" customHeight="1">
      <c r="F3583" s="14"/>
    </row>
    <row r="3584" ht="22.5" customHeight="1">
      <c r="F3584" s="14"/>
    </row>
    <row r="3585" ht="22.5" customHeight="1">
      <c r="F3585" s="14"/>
    </row>
    <row r="3586" ht="22.5" customHeight="1">
      <c r="F3586" s="14"/>
    </row>
    <row r="3587" ht="22.5" customHeight="1">
      <c r="F3587" s="14"/>
    </row>
    <row r="3588" ht="22.5" customHeight="1">
      <c r="F3588" s="14"/>
    </row>
    <row r="3589" ht="22.5" customHeight="1">
      <c r="F3589" s="14"/>
    </row>
    <row r="3590" ht="22.5" customHeight="1">
      <c r="F3590" s="14"/>
    </row>
    <row r="3591" ht="22.5" customHeight="1">
      <c r="F3591" s="14"/>
    </row>
    <row r="3592" ht="22.5" customHeight="1">
      <c r="F3592" s="14"/>
    </row>
    <row r="3593" ht="22.5" customHeight="1">
      <c r="F3593" s="14"/>
    </row>
    <row r="3594" ht="22.5" customHeight="1">
      <c r="F3594" s="14"/>
    </row>
    <row r="3595" ht="22.5" customHeight="1">
      <c r="F3595" s="14"/>
    </row>
    <row r="3596" ht="22.5" customHeight="1">
      <c r="F3596" s="14"/>
    </row>
    <row r="3597" ht="22.5" customHeight="1">
      <c r="F3597" s="14"/>
    </row>
    <row r="3598" ht="22.5" customHeight="1">
      <c r="F3598" s="14"/>
    </row>
    <row r="3599" ht="22.5" customHeight="1">
      <c r="F3599" s="14"/>
    </row>
    <row r="3600" ht="22.5" customHeight="1">
      <c r="F3600" s="14"/>
    </row>
    <row r="3601" ht="22.5" customHeight="1">
      <c r="F3601" s="14"/>
    </row>
    <row r="3602" ht="22.5" customHeight="1">
      <c r="F3602" s="14"/>
    </row>
    <row r="3603" ht="22.5" customHeight="1">
      <c r="F3603" s="14"/>
    </row>
    <row r="3604" ht="22.5" customHeight="1">
      <c r="F3604" s="14"/>
    </row>
    <row r="3605" ht="22.5" customHeight="1">
      <c r="F3605" s="14"/>
    </row>
    <row r="3606" ht="22.5" customHeight="1">
      <c r="F3606" s="14"/>
    </row>
    <row r="3607" ht="22.5" customHeight="1">
      <c r="F3607" s="14"/>
    </row>
    <row r="3608" ht="22.5" customHeight="1">
      <c r="F3608" s="14"/>
    </row>
    <row r="3609" ht="22.5" customHeight="1">
      <c r="F3609" s="14"/>
    </row>
    <row r="3610" ht="22.5" customHeight="1">
      <c r="F3610" s="14"/>
    </row>
    <row r="3611" ht="22.5" customHeight="1">
      <c r="F3611" s="14"/>
    </row>
    <row r="3612" ht="22.5" customHeight="1">
      <c r="F3612" s="14"/>
    </row>
    <row r="3613" ht="22.5" customHeight="1">
      <c r="F3613" s="14"/>
    </row>
    <row r="3614" ht="22.5" customHeight="1">
      <c r="F3614" s="14"/>
    </row>
    <row r="3615" ht="22.5" customHeight="1">
      <c r="F3615" s="14"/>
    </row>
    <row r="3616" ht="22.5" customHeight="1">
      <c r="F3616" s="14"/>
    </row>
    <row r="3617" ht="22.5" customHeight="1">
      <c r="F3617" s="14"/>
    </row>
    <row r="3618" ht="22.5" customHeight="1">
      <c r="F3618" s="14"/>
    </row>
    <row r="3619" ht="22.5" customHeight="1">
      <c r="F3619" s="14"/>
    </row>
    <row r="3620" ht="22.5" customHeight="1">
      <c r="F3620" s="14"/>
    </row>
    <row r="3621" ht="22.5" customHeight="1">
      <c r="F3621" s="14"/>
    </row>
    <row r="3622" ht="22.5" customHeight="1">
      <c r="F3622" s="14"/>
    </row>
    <row r="3623" ht="22.5" customHeight="1">
      <c r="F3623" s="14"/>
    </row>
    <row r="3624" ht="22.5" customHeight="1">
      <c r="F3624" s="14"/>
    </row>
    <row r="3625" ht="22.5" customHeight="1">
      <c r="F3625" s="14"/>
    </row>
    <row r="3626" ht="22.5" customHeight="1">
      <c r="F3626" s="14"/>
    </row>
    <row r="3627" ht="22.5" customHeight="1">
      <c r="F3627" s="14"/>
    </row>
    <row r="3628" ht="22.5" customHeight="1">
      <c r="F3628" s="14"/>
    </row>
    <row r="3629" ht="22.5" customHeight="1">
      <c r="F3629" s="14"/>
    </row>
    <row r="3630" ht="22.5" customHeight="1">
      <c r="F3630" s="14"/>
    </row>
    <row r="3631" ht="22.5" customHeight="1">
      <c r="F3631" s="14"/>
    </row>
    <row r="3632" ht="22.5" customHeight="1">
      <c r="F3632" s="14"/>
    </row>
    <row r="3633" ht="22.5" customHeight="1">
      <c r="F3633" s="14"/>
    </row>
    <row r="3634" ht="22.5" customHeight="1">
      <c r="F3634" s="14"/>
    </row>
    <row r="3635" ht="22.5" customHeight="1">
      <c r="F3635" s="14"/>
    </row>
    <row r="3636" ht="22.5" customHeight="1">
      <c r="F3636" s="14"/>
    </row>
    <row r="3637" ht="22.5" customHeight="1">
      <c r="F3637" s="14"/>
    </row>
    <row r="3638" ht="22.5" customHeight="1">
      <c r="F3638" s="14"/>
    </row>
    <row r="3639" ht="22.5" customHeight="1">
      <c r="F3639" s="14"/>
    </row>
    <row r="3640" ht="22.5" customHeight="1">
      <c r="F3640" s="14"/>
    </row>
    <row r="3641" ht="22.5" customHeight="1">
      <c r="F3641" s="14"/>
    </row>
    <row r="3642" ht="22.5" customHeight="1">
      <c r="F3642" s="14"/>
    </row>
    <row r="3643" ht="22.5" customHeight="1">
      <c r="F3643" s="14"/>
    </row>
    <row r="3644" ht="22.5" customHeight="1">
      <c r="F3644" s="14"/>
    </row>
    <row r="3645" ht="22.5" customHeight="1">
      <c r="F3645" s="14"/>
    </row>
    <row r="3646" ht="22.5" customHeight="1">
      <c r="F3646" s="14"/>
    </row>
    <row r="3647" ht="22.5" customHeight="1">
      <c r="F3647" s="14"/>
    </row>
    <row r="3648" ht="22.5" customHeight="1">
      <c r="F3648" s="14"/>
    </row>
    <row r="3649" ht="22.5" customHeight="1">
      <c r="F3649" s="14"/>
    </row>
    <row r="3650" ht="22.5" customHeight="1">
      <c r="F3650" s="14"/>
    </row>
    <row r="3651" ht="22.5" customHeight="1">
      <c r="F3651" s="14"/>
    </row>
    <row r="3652" ht="22.5" customHeight="1">
      <c r="F3652" s="14"/>
    </row>
    <row r="3653" ht="22.5" customHeight="1">
      <c r="F3653" s="14"/>
    </row>
    <row r="3654" ht="22.5" customHeight="1">
      <c r="F3654" s="14"/>
    </row>
    <row r="3655" ht="22.5" customHeight="1">
      <c r="F3655" s="14"/>
    </row>
    <row r="3656" ht="22.5" customHeight="1">
      <c r="F3656" s="14"/>
    </row>
    <row r="3657" ht="22.5" customHeight="1">
      <c r="F3657" s="14"/>
    </row>
    <row r="3658" ht="22.5" customHeight="1">
      <c r="F3658" s="14"/>
    </row>
    <row r="3659" ht="22.5" customHeight="1">
      <c r="F3659" s="14"/>
    </row>
    <row r="3660" ht="22.5" customHeight="1">
      <c r="F3660" s="14"/>
    </row>
    <row r="3661" ht="22.5" customHeight="1">
      <c r="F3661" s="14"/>
    </row>
    <row r="3662" ht="22.5" customHeight="1">
      <c r="F3662" s="14"/>
    </row>
    <row r="3663" ht="22.5" customHeight="1">
      <c r="F3663" s="14"/>
    </row>
    <row r="3664" ht="22.5" customHeight="1">
      <c r="F3664" s="14"/>
    </row>
    <row r="3665" ht="22.5" customHeight="1">
      <c r="F3665" s="14"/>
    </row>
    <row r="3666" ht="22.5" customHeight="1">
      <c r="F3666" s="14"/>
    </row>
    <row r="3667" ht="22.5" customHeight="1">
      <c r="F3667" s="14"/>
    </row>
    <row r="3668" ht="22.5" customHeight="1">
      <c r="F3668" s="14"/>
    </row>
    <row r="3669" ht="22.5" customHeight="1">
      <c r="F3669" s="14"/>
    </row>
    <row r="3670" ht="22.5" customHeight="1">
      <c r="F3670" s="14"/>
    </row>
    <row r="3671" ht="22.5" customHeight="1">
      <c r="F3671" s="14"/>
    </row>
    <row r="3672" ht="22.5" customHeight="1">
      <c r="F3672" s="14"/>
    </row>
    <row r="3673" ht="22.5" customHeight="1">
      <c r="F3673" s="14"/>
    </row>
    <row r="3674" ht="22.5" customHeight="1">
      <c r="F3674" s="14"/>
    </row>
    <row r="3675" ht="22.5" customHeight="1">
      <c r="F3675" s="14"/>
    </row>
    <row r="3676" ht="22.5" customHeight="1">
      <c r="F3676" s="14"/>
    </row>
    <row r="3677" ht="22.5" customHeight="1">
      <c r="F3677" s="14"/>
    </row>
    <row r="3678" ht="22.5" customHeight="1">
      <c r="F3678" s="14"/>
    </row>
    <row r="3679" ht="22.5" customHeight="1">
      <c r="F3679" s="14"/>
    </row>
    <row r="3680" ht="22.5" customHeight="1">
      <c r="F3680" s="14"/>
    </row>
    <row r="3681" ht="22.5" customHeight="1">
      <c r="F3681" s="14"/>
    </row>
    <row r="3682" ht="22.5" customHeight="1">
      <c r="F3682" s="14"/>
    </row>
    <row r="3683" ht="22.5" customHeight="1">
      <c r="F3683" s="14"/>
    </row>
    <row r="3684" ht="22.5" customHeight="1">
      <c r="F3684" s="14"/>
    </row>
    <row r="3685" ht="22.5" customHeight="1">
      <c r="F3685" s="14"/>
    </row>
    <row r="3686" ht="22.5" customHeight="1">
      <c r="F3686" s="14"/>
    </row>
    <row r="3687" ht="22.5" customHeight="1">
      <c r="F3687" s="14"/>
    </row>
    <row r="3688" ht="22.5" customHeight="1">
      <c r="F3688" s="14"/>
    </row>
    <row r="3689" ht="22.5" customHeight="1">
      <c r="F3689" s="14"/>
    </row>
    <row r="3690" ht="22.5" customHeight="1">
      <c r="F3690" s="14"/>
    </row>
    <row r="3691" ht="22.5" customHeight="1">
      <c r="F3691" s="14"/>
    </row>
    <row r="3692" ht="22.5" customHeight="1">
      <c r="F3692" s="14"/>
    </row>
    <row r="3693" ht="22.5" customHeight="1">
      <c r="F3693" s="14"/>
    </row>
    <row r="3694" ht="22.5" customHeight="1">
      <c r="F3694" s="14"/>
    </row>
    <row r="3695" ht="22.5" customHeight="1">
      <c r="F3695" s="14"/>
    </row>
    <row r="3696" ht="22.5" customHeight="1">
      <c r="F3696" s="14"/>
    </row>
    <row r="3697" ht="22.5" customHeight="1">
      <c r="F3697" s="14"/>
    </row>
    <row r="3698" ht="22.5" customHeight="1">
      <c r="F3698" s="14"/>
    </row>
    <row r="3699" ht="22.5" customHeight="1">
      <c r="F3699" s="14"/>
    </row>
    <row r="3700" ht="22.5" customHeight="1">
      <c r="F3700" s="14"/>
    </row>
    <row r="3701" ht="22.5" customHeight="1">
      <c r="F3701" s="14"/>
    </row>
    <row r="3702" ht="22.5" customHeight="1">
      <c r="F3702" s="14"/>
    </row>
    <row r="3703" ht="22.5" customHeight="1">
      <c r="F3703" s="14"/>
    </row>
    <row r="3704" ht="22.5" customHeight="1">
      <c r="F3704" s="14"/>
    </row>
    <row r="3705" ht="22.5" customHeight="1">
      <c r="F3705" s="14"/>
    </row>
    <row r="3706" ht="22.5" customHeight="1">
      <c r="F3706" s="14"/>
    </row>
    <row r="3707" ht="22.5" customHeight="1">
      <c r="F3707" s="14"/>
    </row>
    <row r="3708" ht="22.5" customHeight="1">
      <c r="F3708" s="14"/>
    </row>
    <row r="3709" ht="22.5" customHeight="1">
      <c r="F3709" s="14"/>
    </row>
    <row r="3710" ht="22.5" customHeight="1">
      <c r="F3710" s="14"/>
    </row>
    <row r="3711" ht="22.5" customHeight="1">
      <c r="F3711" s="14"/>
    </row>
    <row r="3712" ht="22.5" customHeight="1">
      <c r="F3712" s="14"/>
    </row>
    <row r="3713" ht="22.5" customHeight="1">
      <c r="F3713" s="14"/>
    </row>
    <row r="3714" ht="22.5" customHeight="1">
      <c r="F3714" s="14"/>
    </row>
    <row r="3715" ht="22.5" customHeight="1">
      <c r="F3715" s="14"/>
    </row>
    <row r="3716" ht="22.5" customHeight="1">
      <c r="F3716" s="14"/>
    </row>
    <row r="3717" ht="22.5" customHeight="1">
      <c r="F3717" s="14"/>
    </row>
    <row r="3718" ht="22.5" customHeight="1">
      <c r="F3718" s="14"/>
    </row>
    <row r="3719" ht="22.5" customHeight="1">
      <c r="F3719" s="14"/>
    </row>
    <row r="3720" ht="22.5" customHeight="1">
      <c r="F3720" s="14"/>
    </row>
    <row r="3721" ht="22.5" customHeight="1">
      <c r="F3721" s="14"/>
    </row>
    <row r="3722" ht="22.5" customHeight="1">
      <c r="F3722" s="14"/>
    </row>
    <row r="3723" ht="22.5" customHeight="1">
      <c r="F3723" s="14"/>
    </row>
    <row r="3724" ht="22.5" customHeight="1">
      <c r="F3724" s="14"/>
    </row>
    <row r="3725" ht="22.5" customHeight="1">
      <c r="F3725" s="14"/>
    </row>
    <row r="3726" ht="22.5" customHeight="1">
      <c r="F3726" s="14"/>
    </row>
    <row r="3727" ht="22.5" customHeight="1">
      <c r="F3727" s="14"/>
    </row>
    <row r="3728" ht="22.5" customHeight="1">
      <c r="F3728" s="14"/>
    </row>
    <row r="3729" ht="22.5" customHeight="1">
      <c r="F3729" s="14"/>
    </row>
    <row r="3730" ht="22.5" customHeight="1">
      <c r="F3730" s="14"/>
    </row>
    <row r="3731" ht="22.5" customHeight="1">
      <c r="F3731" s="14"/>
    </row>
    <row r="3732" ht="22.5" customHeight="1">
      <c r="F3732" s="14"/>
    </row>
    <row r="3733" ht="22.5" customHeight="1">
      <c r="F3733" s="14"/>
    </row>
    <row r="3734" ht="22.5" customHeight="1">
      <c r="F3734" s="14"/>
    </row>
    <row r="3735" ht="22.5" customHeight="1">
      <c r="F3735" s="14"/>
    </row>
    <row r="3736" ht="22.5" customHeight="1">
      <c r="F3736" s="14"/>
    </row>
    <row r="3737" ht="22.5" customHeight="1">
      <c r="F3737" s="14"/>
    </row>
    <row r="3738" ht="22.5" customHeight="1">
      <c r="F3738" s="14"/>
    </row>
    <row r="3739" ht="22.5" customHeight="1">
      <c r="F3739" s="14"/>
    </row>
    <row r="3740" ht="22.5" customHeight="1">
      <c r="F3740" s="14"/>
    </row>
    <row r="3741" ht="22.5" customHeight="1">
      <c r="F3741" s="14"/>
    </row>
    <row r="3742" ht="22.5" customHeight="1">
      <c r="F3742" s="14"/>
    </row>
    <row r="3743" ht="22.5" customHeight="1">
      <c r="F3743" s="14"/>
    </row>
    <row r="3744" ht="22.5" customHeight="1">
      <c r="F3744" s="14"/>
    </row>
    <row r="3745" ht="22.5" customHeight="1">
      <c r="F3745" s="14"/>
    </row>
    <row r="3746" ht="22.5" customHeight="1">
      <c r="F3746" s="14"/>
    </row>
    <row r="3747" ht="22.5" customHeight="1">
      <c r="F3747" s="14"/>
    </row>
    <row r="3748" ht="22.5" customHeight="1">
      <c r="F3748" s="14"/>
    </row>
    <row r="3749" ht="22.5" customHeight="1">
      <c r="F3749" s="14"/>
    </row>
    <row r="3750" ht="22.5" customHeight="1">
      <c r="F3750" s="14"/>
    </row>
    <row r="3751" ht="22.5" customHeight="1">
      <c r="F3751" s="14"/>
    </row>
    <row r="3752" ht="22.5" customHeight="1">
      <c r="F3752" s="14"/>
    </row>
    <row r="3753" ht="22.5" customHeight="1">
      <c r="F3753" s="14"/>
    </row>
    <row r="3754" ht="22.5" customHeight="1">
      <c r="F3754" s="14"/>
    </row>
    <row r="3755" ht="22.5" customHeight="1">
      <c r="F3755" s="14"/>
    </row>
    <row r="3756" ht="22.5" customHeight="1">
      <c r="F3756" s="14"/>
    </row>
    <row r="3757" ht="22.5" customHeight="1">
      <c r="F3757" s="14"/>
    </row>
    <row r="3758" ht="22.5" customHeight="1">
      <c r="F3758" s="14"/>
    </row>
    <row r="3759" ht="22.5" customHeight="1">
      <c r="F3759" s="14"/>
    </row>
    <row r="3760" ht="22.5" customHeight="1">
      <c r="F3760" s="14"/>
    </row>
    <row r="3761" ht="22.5" customHeight="1">
      <c r="F3761" s="14"/>
    </row>
    <row r="3762" ht="22.5" customHeight="1">
      <c r="F3762" s="14"/>
    </row>
    <row r="3763" ht="22.5" customHeight="1">
      <c r="F3763" s="14"/>
    </row>
    <row r="3764" ht="22.5" customHeight="1">
      <c r="F3764" s="14"/>
    </row>
    <row r="3765" ht="22.5" customHeight="1">
      <c r="F3765" s="14"/>
    </row>
    <row r="3766" ht="22.5" customHeight="1">
      <c r="F3766" s="14"/>
    </row>
    <row r="3767" ht="22.5" customHeight="1">
      <c r="F3767" s="14"/>
    </row>
    <row r="3768" ht="22.5" customHeight="1">
      <c r="F3768" s="14"/>
    </row>
    <row r="3769" ht="22.5" customHeight="1">
      <c r="F3769" s="14"/>
    </row>
    <row r="3770" ht="22.5" customHeight="1">
      <c r="F3770" s="14"/>
    </row>
    <row r="3771" ht="22.5" customHeight="1">
      <c r="F3771" s="14"/>
    </row>
    <row r="3772" ht="22.5" customHeight="1">
      <c r="F3772" s="14"/>
    </row>
    <row r="3773" ht="22.5" customHeight="1">
      <c r="F3773" s="14"/>
    </row>
    <row r="3774" ht="22.5" customHeight="1">
      <c r="F3774" s="14"/>
    </row>
    <row r="3775" ht="22.5" customHeight="1">
      <c r="F3775" s="14"/>
    </row>
    <row r="3776" ht="22.5" customHeight="1">
      <c r="F3776" s="14"/>
    </row>
    <row r="3777" ht="22.5" customHeight="1">
      <c r="F3777" s="14"/>
    </row>
    <row r="3778" ht="22.5" customHeight="1">
      <c r="F3778" s="14"/>
    </row>
    <row r="3779" ht="22.5" customHeight="1">
      <c r="F3779" s="14"/>
    </row>
    <row r="3780" ht="22.5" customHeight="1">
      <c r="F3780" s="14"/>
    </row>
    <row r="3781" ht="22.5" customHeight="1">
      <c r="F3781" s="14"/>
    </row>
    <row r="3782" ht="22.5" customHeight="1">
      <c r="F3782" s="14"/>
    </row>
    <row r="3783" ht="22.5" customHeight="1">
      <c r="F3783" s="14"/>
    </row>
    <row r="3784" ht="22.5" customHeight="1">
      <c r="F3784" s="14"/>
    </row>
    <row r="3785" ht="22.5" customHeight="1">
      <c r="F3785" s="14"/>
    </row>
    <row r="3786" ht="22.5" customHeight="1">
      <c r="F3786" s="14"/>
    </row>
    <row r="3787" ht="22.5" customHeight="1">
      <c r="F3787" s="14"/>
    </row>
    <row r="3788" ht="22.5" customHeight="1">
      <c r="F3788" s="14"/>
    </row>
    <row r="3789" ht="22.5" customHeight="1">
      <c r="F3789" s="14"/>
    </row>
    <row r="3790" ht="22.5" customHeight="1">
      <c r="F3790" s="14"/>
    </row>
    <row r="3791" ht="22.5" customHeight="1">
      <c r="F3791" s="14"/>
    </row>
    <row r="3792" ht="22.5" customHeight="1">
      <c r="F3792" s="14"/>
    </row>
    <row r="3793" ht="22.5" customHeight="1">
      <c r="F3793" s="14"/>
    </row>
    <row r="3794" ht="22.5" customHeight="1">
      <c r="F3794" s="14"/>
    </row>
    <row r="3795" ht="22.5" customHeight="1">
      <c r="F3795" s="14"/>
    </row>
    <row r="3796" ht="22.5" customHeight="1">
      <c r="F3796" s="14"/>
    </row>
    <row r="3797" ht="22.5" customHeight="1">
      <c r="F3797" s="14"/>
    </row>
    <row r="3798" ht="22.5" customHeight="1">
      <c r="F3798" s="14"/>
    </row>
    <row r="3799" ht="22.5" customHeight="1">
      <c r="F3799" s="14"/>
    </row>
    <row r="3800" ht="22.5" customHeight="1">
      <c r="F3800" s="14"/>
    </row>
    <row r="3801" ht="22.5" customHeight="1">
      <c r="F3801" s="14"/>
    </row>
    <row r="3802" ht="22.5" customHeight="1">
      <c r="F3802" s="14"/>
    </row>
    <row r="3803" ht="22.5" customHeight="1">
      <c r="F3803" s="14"/>
    </row>
    <row r="3804" ht="22.5" customHeight="1">
      <c r="F3804" s="14"/>
    </row>
    <row r="3805" ht="22.5" customHeight="1">
      <c r="F3805" s="14"/>
    </row>
    <row r="3806" ht="22.5" customHeight="1">
      <c r="F3806" s="14"/>
    </row>
    <row r="3807" ht="22.5" customHeight="1">
      <c r="F3807" s="14"/>
    </row>
    <row r="3808" ht="22.5" customHeight="1">
      <c r="F3808" s="14"/>
    </row>
    <row r="3809" ht="22.5" customHeight="1">
      <c r="F3809" s="14"/>
    </row>
    <row r="3810" ht="22.5" customHeight="1">
      <c r="F3810" s="14"/>
    </row>
    <row r="3811" ht="22.5" customHeight="1">
      <c r="F3811" s="14"/>
    </row>
    <row r="3812" ht="22.5" customHeight="1">
      <c r="F3812" s="14"/>
    </row>
    <row r="3813" ht="22.5" customHeight="1">
      <c r="F3813" s="14"/>
    </row>
    <row r="3814" ht="22.5" customHeight="1">
      <c r="F3814" s="14"/>
    </row>
    <row r="3815" ht="22.5" customHeight="1">
      <c r="F3815" s="14"/>
    </row>
    <row r="3816" ht="22.5" customHeight="1">
      <c r="F3816" s="14"/>
    </row>
    <row r="3817" ht="22.5" customHeight="1">
      <c r="F3817" s="14"/>
    </row>
    <row r="3818" ht="22.5" customHeight="1">
      <c r="F3818" s="14"/>
    </row>
    <row r="3819" ht="22.5" customHeight="1">
      <c r="F3819" s="14"/>
    </row>
    <row r="3820" ht="22.5" customHeight="1">
      <c r="F3820" s="14"/>
    </row>
    <row r="3821" ht="22.5" customHeight="1">
      <c r="F3821" s="14"/>
    </row>
    <row r="3822" ht="22.5" customHeight="1">
      <c r="F3822" s="14"/>
    </row>
    <row r="3823" ht="22.5" customHeight="1">
      <c r="F3823" s="14"/>
    </row>
    <row r="3824" ht="22.5" customHeight="1">
      <c r="F3824" s="14"/>
    </row>
    <row r="3825" ht="22.5" customHeight="1">
      <c r="F3825" s="14"/>
    </row>
    <row r="3826" ht="22.5" customHeight="1">
      <c r="F3826" s="14"/>
    </row>
    <row r="3827" ht="22.5" customHeight="1">
      <c r="F3827" s="14"/>
    </row>
    <row r="3828" ht="22.5" customHeight="1">
      <c r="F3828" s="14"/>
    </row>
    <row r="3829" ht="22.5" customHeight="1">
      <c r="F3829" s="14"/>
    </row>
    <row r="3830" ht="22.5" customHeight="1">
      <c r="F3830" s="14"/>
    </row>
    <row r="3831" ht="22.5" customHeight="1">
      <c r="F3831" s="14"/>
    </row>
    <row r="3832" ht="22.5" customHeight="1">
      <c r="F3832" s="14"/>
    </row>
    <row r="3833" ht="22.5" customHeight="1">
      <c r="F3833" s="14"/>
    </row>
    <row r="3834" ht="22.5" customHeight="1">
      <c r="F3834" s="14"/>
    </row>
    <row r="3835" ht="22.5" customHeight="1">
      <c r="F3835" s="14"/>
    </row>
    <row r="3836" ht="22.5" customHeight="1">
      <c r="F3836" s="14"/>
    </row>
    <row r="3837" ht="22.5" customHeight="1">
      <c r="F3837" s="14"/>
    </row>
    <row r="3838" ht="22.5" customHeight="1">
      <c r="F3838" s="14"/>
    </row>
    <row r="3839" ht="22.5" customHeight="1">
      <c r="F3839" s="14"/>
    </row>
    <row r="3840" ht="22.5" customHeight="1">
      <c r="F3840" s="14"/>
    </row>
    <row r="3841" ht="22.5" customHeight="1">
      <c r="F3841" s="14"/>
    </row>
    <row r="3842" ht="22.5" customHeight="1">
      <c r="F3842" s="14"/>
    </row>
    <row r="3843" ht="22.5" customHeight="1">
      <c r="F3843" s="14"/>
    </row>
    <row r="3844" ht="22.5" customHeight="1">
      <c r="F3844" s="14"/>
    </row>
    <row r="3845" ht="22.5" customHeight="1">
      <c r="F3845" s="14"/>
    </row>
    <row r="3846" ht="22.5" customHeight="1">
      <c r="F3846" s="14"/>
    </row>
    <row r="3847" ht="22.5" customHeight="1">
      <c r="F3847" s="14"/>
    </row>
    <row r="3848" ht="22.5" customHeight="1">
      <c r="F3848" s="14"/>
    </row>
    <row r="3849" ht="22.5" customHeight="1">
      <c r="F3849" s="14"/>
    </row>
    <row r="3850" ht="22.5" customHeight="1">
      <c r="F3850" s="14"/>
    </row>
    <row r="3851" ht="22.5" customHeight="1">
      <c r="F3851" s="14"/>
    </row>
    <row r="3852" ht="22.5" customHeight="1">
      <c r="F3852" s="14"/>
    </row>
    <row r="3853" ht="22.5" customHeight="1">
      <c r="F3853" s="14"/>
    </row>
    <row r="3854" ht="22.5" customHeight="1">
      <c r="F3854" s="14"/>
    </row>
    <row r="3855" ht="22.5" customHeight="1">
      <c r="F3855" s="14"/>
    </row>
    <row r="3856" ht="22.5" customHeight="1">
      <c r="F3856" s="14"/>
    </row>
    <row r="3857" ht="22.5" customHeight="1">
      <c r="F3857" s="14"/>
    </row>
    <row r="3858" ht="22.5" customHeight="1">
      <c r="F3858" s="14"/>
    </row>
    <row r="3859" ht="22.5" customHeight="1">
      <c r="F3859" s="14"/>
    </row>
    <row r="3860" ht="22.5" customHeight="1">
      <c r="F3860" s="14"/>
    </row>
    <row r="3861" ht="22.5" customHeight="1">
      <c r="F3861" s="14"/>
    </row>
    <row r="3862" ht="22.5" customHeight="1">
      <c r="F3862" s="14"/>
    </row>
    <row r="3863" ht="22.5" customHeight="1">
      <c r="F3863" s="14"/>
    </row>
    <row r="3864" ht="22.5" customHeight="1">
      <c r="F3864" s="14"/>
    </row>
    <row r="3865" ht="22.5" customHeight="1">
      <c r="F3865" s="14"/>
    </row>
    <row r="3866" ht="22.5" customHeight="1">
      <c r="F3866" s="14"/>
    </row>
    <row r="3867" ht="22.5" customHeight="1">
      <c r="F3867" s="14"/>
    </row>
    <row r="3868" ht="22.5" customHeight="1">
      <c r="F3868" s="14"/>
    </row>
    <row r="3869" ht="22.5" customHeight="1">
      <c r="F3869" s="14"/>
    </row>
    <row r="3870" ht="22.5" customHeight="1">
      <c r="F3870" s="14"/>
    </row>
    <row r="3871" ht="22.5" customHeight="1">
      <c r="F3871" s="14"/>
    </row>
    <row r="3872" ht="22.5" customHeight="1">
      <c r="F3872" s="14"/>
    </row>
    <row r="3873" ht="22.5" customHeight="1">
      <c r="F3873" s="14"/>
    </row>
    <row r="3874" ht="22.5" customHeight="1">
      <c r="F3874" s="14"/>
    </row>
    <row r="3875" ht="22.5" customHeight="1">
      <c r="F3875" s="14"/>
    </row>
    <row r="3876" ht="22.5" customHeight="1">
      <c r="F3876" s="14"/>
    </row>
    <row r="3877" ht="22.5" customHeight="1">
      <c r="F3877" s="14"/>
    </row>
    <row r="3878" ht="22.5" customHeight="1">
      <c r="F3878" s="14"/>
    </row>
    <row r="3879" ht="22.5" customHeight="1">
      <c r="F3879" s="14"/>
    </row>
    <row r="3880" ht="22.5" customHeight="1">
      <c r="F3880" s="14"/>
    </row>
    <row r="3881" ht="22.5" customHeight="1">
      <c r="F3881" s="14"/>
    </row>
    <row r="3882" ht="22.5" customHeight="1">
      <c r="F3882" s="14"/>
    </row>
    <row r="3883" ht="22.5" customHeight="1">
      <c r="F3883" s="14"/>
    </row>
    <row r="3884" ht="22.5" customHeight="1">
      <c r="F3884" s="14"/>
    </row>
    <row r="3885" ht="22.5" customHeight="1">
      <c r="F3885" s="14"/>
    </row>
    <row r="3886" ht="22.5" customHeight="1">
      <c r="F3886" s="14"/>
    </row>
    <row r="3887" ht="22.5" customHeight="1">
      <c r="F3887" s="14"/>
    </row>
    <row r="3888" ht="22.5" customHeight="1">
      <c r="F3888" s="14"/>
    </row>
    <row r="3889" ht="22.5" customHeight="1">
      <c r="F3889" s="14"/>
    </row>
    <row r="3890" ht="22.5" customHeight="1">
      <c r="F3890" s="14"/>
    </row>
    <row r="3891" ht="22.5" customHeight="1">
      <c r="F3891" s="14"/>
    </row>
    <row r="3892" ht="22.5" customHeight="1">
      <c r="F3892" s="14"/>
    </row>
    <row r="3893" ht="22.5" customHeight="1">
      <c r="F3893" s="14"/>
    </row>
    <row r="3894" ht="22.5" customHeight="1">
      <c r="F3894" s="14"/>
    </row>
    <row r="3895" ht="22.5" customHeight="1">
      <c r="F3895" s="14"/>
    </row>
    <row r="3896" ht="22.5" customHeight="1">
      <c r="F3896" s="14"/>
    </row>
    <row r="3897" ht="22.5" customHeight="1">
      <c r="F3897" s="14"/>
    </row>
    <row r="3898" ht="22.5" customHeight="1">
      <c r="F3898" s="14"/>
    </row>
    <row r="3899" ht="22.5" customHeight="1">
      <c r="F3899" s="14"/>
    </row>
    <row r="3900" ht="22.5" customHeight="1">
      <c r="F3900" s="14"/>
    </row>
    <row r="3901" ht="22.5" customHeight="1">
      <c r="F3901" s="14"/>
    </row>
    <row r="3902" ht="22.5" customHeight="1">
      <c r="F3902" s="14"/>
    </row>
    <row r="3903" ht="22.5" customHeight="1">
      <c r="F3903" s="14"/>
    </row>
    <row r="3904" ht="22.5" customHeight="1">
      <c r="F3904" s="14"/>
    </row>
    <row r="3905" ht="22.5" customHeight="1">
      <c r="F3905" s="14"/>
    </row>
    <row r="3906" ht="22.5" customHeight="1">
      <c r="F3906" s="14"/>
    </row>
    <row r="3907" ht="22.5" customHeight="1">
      <c r="F3907" s="14"/>
    </row>
    <row r="3908" ht="22.5" customHeight="1">
      <c r="F3908" s="14"/>
    </row>
    <row r="3909" ht="22.5" customHeight="1">
      <c r="F3909" s="14"/>
    </row>
    <row r="3910" ht="22.5" customHeight="1">
      <c r="F3910" s="14"/>
    </row>
    <row r="3911" ht="22.5" customHeight="1">
      <c r="F3911" s="14"/>
    </row>
    <row r="3912" ht="22.5" customHeight="1">
      <c r="F3912" s="14"/>
    </row>
    <row r="3913" ht="22.5" customHeight="1">
      <c r="F3913" s="14"/>
    </row>
    <row r="3914" ht="22.5" customHeight="1">
      <c r="F3914" s="14"/>
    </row>
    <row r="3915" ht="22.5" customHeight="1">
      <c r="F3915" s="14"/>
    </row>
    <row r="3916" ht="22.5" customHeight="1">
      <c r="F3916" s="14"/>
    </row>
    <row r="3917" ht="22.5" customHeight="1">
      <c r="F3917" s="14"/>
    </row>
    <row r="3918" ht="22.5" customHeight="1">
      <c r="F3918" s="14"/>
    </row>
    <row r="3919" ht="22.5" customHeight="1">
      <c r="F3919" s="14"/>
    </row>
    <row r="3920" ht="22.5" customHeight="1">
      <c r="F3920" s="14"/>
    </row>
    <row r="3921" ht="22.5" customHeight="1">
      <c r="F3921" s="14"/>
    </row>
    <row r="3922" ht="22.5" customHeight="1">
      <c r="F3922" s="14"/>
    </row>
    <row r="3923" ht="22.5" customHeight="1">
      <c r="F3923" s="14"/>
    </row>
    <row r="3924" ht="22.5" customHeight="1">
      <c r="F3924" s="14"/>
    </row>
    <row r="3925" ht="22.5" customHeight="1">
      <c r="F3925" s="14"/>
    </row>
    <row r="3926" ht="22.5" customHeight="1">
      <c r="F3926" s="14"/>
    </row>
    <row r="3927" ht="22.5" customHeight="1">
      <c r="F3927" s="14"/>
    </row>
    <row r="3928" ht="22.5" customHeight="1">
      <c r="F3928" s="14"/>
    </row>
    <row r="3929" ht="22.5" customHeight="1">
      <c r="F3929" s="14"/>
    </row>
    <row r="3930" ht="22.5" customHeight="1">
      <c r="F3930" s="14"/>
    </row>
    <row r="3931" ht="22.5" customHeight="1">
      <c r="F3931" s="14"/>
    </row>
    <row r="3932" ht="22.5" customHeight="1">
      <c r="F3932" s="14"/>
    </row>
    <row r="3933" ht="22.5" customHeight="1">
      <c r="F3933" s="14"/>
    </row>
    <row r="3934" ht="22.5" customHeight="1">
      <c r="F3934" s="14"/>
    </row>
    <row r="3935" ht="22.5" customHeight="1">
      <c r="F3935" s="14"/>
    </row>
    <row r="3936" ht="22.5" customHeight="1">
      <c r="F3936" s="14"/>
    </row>
    <row r="3937" ht="22.5" customHeight="1">
      <c r="F3937" s="14"/>
    </row>
    <row r="3938" ht="22.5" customHeight="1">
      <c r="F3938" s="14"/>
    </row>
    <row r="3939" ht="22.5" customHeight="1">
      <c r="F3939" s="14"/>
    </row>
    <row r="3940" ht="22.5" customHeight="1">
      <c r="F3940" s="14"/>
    </row>
    <row r="3941" ht="22.5" customHeight="1">
      <c r="F3941" s="14"/>
    </row>
    <row r="3942" ht="22.5" customHeight="1">
      <c r="F3942" s="14"/>
    </row>
    <row r="3943" ht="22.5" customHeight="1">
      <c r="F3943" s="14"/>
    </row>
    <row r="3944" ht="22.5" customHeight="1">
      <c r="F3944" s="14"/>
    </row>
    <row r="3945" ht="22.5" customHeight="1">
      <c r="F3945" s="14"/>
    </row>
    <row r="3946" ht="22.5" customHeight="1">
      <c r="F3946" s="14"/>
    </row>
    <row r="3947" ht="22.5" customHeight="1">
      <c r="F3947" s="14"/>
    </row>
    <row r="3948" ht="22.5" customHeight="1">
      <c r="F3948" s="14"/>
    </row>
    <row r="3949" ht="22.5" customHeight="1">
      <c r="F3949" s="14"/>
    </row>
    <row r="3950" ht="22.5" customHeight="1">
      <c r="F3950" s="14"/>
    </row>
    <row r="3951" ht="22.5" customHeight="1">
      <c r="F3951" s="14"/>
    </row>
    <row r="3952" ht="22.5" customHeight="1">
      <c r="F3952" s="14"/>
    </row>
    <row r="3953" ht="22.5" customHeight="1">
      <c r="F3953" s="14"/>
    </row>
    <row r="3954" ht="22.5" customHeight="1">
      <c r="F3954" s="14"/>
    </row>
    <row r="3955" ht="22.5" customHeight="1">
      <c r="F3955" s="14"/>
    </row>
    <row r="3956" ht="22.5" customHeight="1">
      <c r="F3956" s="14"/>
    </row>
    <row r="3957" ht="22.5" customHeight="1">
      <c r="F3957" s="14"/>
    </row>
    <row r="3958" ht="22.5" customHeight="1">
      <c r="F3958" s="14"/>
    </row>
    <row r="3959" ht="22.5" customHeight="1">
      <c r="F3959" s="14"/>
    </row>
    <row r="3960" ht="22.5" customHeight="1">
      <c r="F3960" s="14"/>
    </row>
    <row r="3961" ht="22.5" customHeight="1">
      <c r="F3961" s="14"/>
    </row>
    <row r="3962" ht="22.5" customHeight="1">
      <c r="F3962" s="14"/>
    </row>
    <row r="3963" ht="22.5" customHeight="1">
      <c r="F3963" s="14"/>
    </row>
    <row r="3964" ht="22.5" customHeight="1">
      <c r="F3964" s="14"/>
    </row>
    <row r="3965" ht="22.5" customHeight="1">
      <c r="F3965" s="14"/>
    </row>
    <row r="3966" ht="22.5" customHeight="1">
      <c r="F3966" s="14"/>
    </row>
    <row r="3967" ht="22.5" customHeight="1">
      <c r="F3967" s="14"/>
    </row>
    <row r="3968" ht="22.5" customHeight="1">
      <c r="F3968" s="14"/>
    </row>
    <row r="3969" ht="22.5" customHeight="1">
      <c r="F3969" s="14"/>
    </row>
    <row r="3970" ht="22.5" customHeight="1">
      <c r="F3970" s="14"/>
    </row>
    <row r="3971" ht="22.5" customHeight="1">
      <c r="F3971" s="14"/>
    </row>
    <row r="3972" ht="22.5" customHeight="1">
      <c r="F3972" s="14"/>
    </row>
    <row r="3973" ht="22.5" customHeight="1">
      <c r="F3973" s="14"/>
    </row>
    <row r="3974" ht="22.5" customHeight="1">
      <c r="F3974" s="14"/>
    </row>
    <row r="3975" ht="22.5" customHeight="1">
      <c r="F3975" s="14"/>
    </row>
    <row r="3976" ht="22.5" customHeight="1">
      <c r="F3976" s="14"/>
    </row>
    <row r="3977" ht="22.5" customHeight="1">
      <c r="F3977" s="14"/>
    </row>
    <row r="3978" ht="22.5" customHeight="1">
      <c r="F3978" s="14"/>
    </row>
    <row r="3979" ht="22.5" customHeight="1">
      <c r="F3979" s="14"/>
    </row>
    <row r="3980" ht="22.5" customHeight="1">
      <c r="F3980" s="14"/>
    </row>
    <row r="3981" ht="22.5" customHeight="1">
      <c r="F3981" s="14"/>
    </row>
    <row r="3982" ht="22.5" customHeight="1">
      <c r="F3982" s="14"/>
    </row>
    <row r="3983" ht="22.5" customHeight="1">
      <c r="F3983" s="14"/>
    </row>
    <row r="3984" ht="22.5" customHeight="1">
      <c r="F3984" s="14"/>
    </row>
    <row r="3985" ht="22.5" customHeight="1">
      <c r="F3985" s="14"/>
    </row>
    <row r="3986" ht="22.5" customHeight="1">
      <c r="F3986" s="14"/>
    </row>
    <row r="3987" ht="22.5" customHeight="1">
      <c r="F3987" s="14"/>
    </row>
    <row r="3988" ht="22.5" customHeight="1">
      <c r="F3988" s="14"/>
    </row>
    <row r="3989" ht="22.5" customHeight="1">
      <c r="F3989" s="14"/>
    </row>
    <row r="3990" ht="22.5" customHeight="1">
      <c r="F3990" s="14"/>
    </row>
    <row r="3991" ht="22.5" customHeight="1">
      <c r="F3991" s="14"/>
    </row>
    <row r="3992" ht="22.5" customHeight="1">
      <c r="F3992" s="14"/>
    </row>
    <row r="3993" ht="22.5" customHeight="1">
      <c r="F3993" s="14"/>
    </row>
    <row r="3994" ht="22.5" customHeight="1">
      <c r="F3994" s="14"/>
    </row>
    <row r="3995" ht="22.5" customHeight="1">
      <c r="F3995" s="14"/>
    </row>
    <row r="3996" ht="22.5" customHeight="1">
      <c r="F3996" s="14"/>
    </row>
    <row r="3997" ht="22.5" customHeight="1">
      <c r="F3997" s="14"/>
    </row>
    <row r="3998" ht="22.5" customHeight="1">
      <c r="F3998" s="14"/>
    </row>
    <row r="3999" ht="22.5" customHeight="1">
      <c r="F3999" s="14"/>
    </row>
    <row r="4000" ht="22.5" customHeight="1">
      <c r="F4000" s="14"/>
    </row>
    <row r="4001" ht="22.5" customHeight="1">
      <c r="F4001" s="14"/>
    </row>
    <row r="4002" ht="22.5" customHeight="1">
      <c r="F4002" s="14"/>
    </row>
    <row r="4003" ht="22.5" customHeight="1">
      <c r="F4003" s="14"/>
    </row>
    <row r="4004" ht="22.5" customHeight="1">
      <c r="F4004" s="14"/>
    </row>
    <row r="4005" ht="22.5" customHeight="1">
      <c r="F4005" s="14"/>
    </row>
    <row r="4006" ht="22.5" customHeight="1">
      <c r="F4006" s="14"/>
    </row>
    <row r="4007" ht="22.5" customHeight="1">
      <c r="F4007" s="14"/>
    </row>
    <row r="4008" ht="22.5" customHeight="1">
      <c r="F4008" s="14"/>
    </row>
    <row r="4009" ht="22.5" customHeight="1">
      <c r="F4009" s="14"/>
    </row>
    <row r="4010" ht="22.5" customHeight="1">
      <c r="F4010" s="14"/>
    </row>
    <row r="4011" ht="22.5" customHeight="1">
      <c r="F4011" s="14"/>
    </row>
    <row r="4012" ht="22.5" customHeight="1">
      <c r="F4012" s="14"/>
    </row>
    <row r="4013" ht="22.5" customHeight="1">
      <c r="F4013" s="14"/>
    </row>
    <row r="4014" ht="22.5" customHeight="1">
      <c r="F4014" s="14"/>
    </row>
    <row r="4015" ht="22.5" customHeight="1">
      <c r="F4015" s="14"/>
    </row>
    <row r="4016" ht="22.5" customHeight="1">
      <c r="F4016" s="14"/>
    </row>
    <row r="4017" ht="22.5" customHeight="1">
      <c r="F4017" s="14"/>
    </row>
    <row r="4018" ht="22.5" customHeight="1">
      <c r="F4018" s="14"/>
    </row>
    <row r="4019" ht="22.5" customHeight="1">
      <c r="F4019" s="14"/>
    </row>
    <row r="4020" ht="22.5" customHeight="1">
      <c r="F4020" s="14"/>
    </row>
    <row r="4021" ht="22.5" customHeight="1">
      <c r="F4021" s="14"/>
    </row>
    <row r="4022" ht="22.5" customHeight="1">
      <c r="F4022" s="14"/>
    </row>
    <row r="4023" ht="22.5" customHeight="1">
      <c r="F4023" s="14"/>
    </row>
    <row r="4024" ht="22.5" customHeight="1">
      <c r="F4024" s="14"/>
    </row>
    <row r="4025" ht="22.5" customHeight="1">
      <c r="F4025" s="14"/>
    </row>
    <row r="4026" ht="22.5" customHeight="1">
      <c r="F4026" s="14"/>
    </row>
    <row r="4027" ht="22.5" customHeight="1">
      <c r="F4027" s="14"/>
    </row>
    <row r="4028" ht="22.5" customHeight="1">
      <c r="F4028" s="14"/>
    </row>
    <row r="4029" ht="22.5" customHeight="1">
      <c r="F4029" s="14"/>
    </row>
    <row r="4030" ht="22.5" customHeight="1">
      <c r="F4030" s="14"/>
    </row>
    <row r="4031" ht="22.5" customHeight="1">
      <c r="F4031" s="14"/>
    </row>
    <row r="4032" ht="22.5" customHeight="1">
      <c r="F4032" s="14"/>
    </row>
    <row r="4033" ht="22.5" customHeight="1">
      <c r="F4033" s="14"/>
    </row>
    <row r="4034" ht="22.5" customHeight="1">
      <c r="F4034" s="14"/>
    </row>
    <row r="4035" ht="22.5" customHeight="1">
      <c r="F4035" s="14"/>
    </row>
    <row r="4036" ht="22.5" customHeight="1">
      <c r="F4036" s="14"/>
    </row>
    <row r="4037" ht="22.5" customHeight="1">
      <c r="F4037" s="14"/>
    </row>
    <row r="4038" ht="22.5" customHeight="1">
      <c r="F4038" s="14"/>
    </row>
    <row r="4039" ht="22.5" customHeight="1">
      <c r="F4039" s="14"/>
    </row>
    <row r="4040" ht="22.5" customHeight="1">
      <c r="F4040" s="14"/>
    </row>
    <row r="4041" ht="22.5" customHeight="1">
      <c r="F4041" s="14"/>
    </row>
    <row r="4042" ht="22.5" customHeight="1">
      <c r="F4042" s="14"/>
    </row>
    <row r="4043" ht="22.5" customHeight="1">
      <c r="F4043" s="14"/>
    </row>
    <row r="4044" ht="22.5" customHeight="1">
      <c r="F4044" s="14"/>
    </row>
    <row r="4045" ht="22.5" customHeight="1">
      <c r="F4045" s="14"/>
    </row>
    <row r="4046" ht="22.5" customHeight="1">
      <c r="F4046" s="14"/>
    </row>
    <row r="4047" ht="22.5" customHeight="1">
      <c r="F4047" s="14"/>
    </row>
    <row r="4048" ht="22.5" customHeight="1">
      <c r="F4048" s="14"/>
    </row>
    <row r="4049" ht="22.5" customHeight="1">
      <c r="F4049" s="14"/>
    </row>
    <row r="4050" ht="22.5" customHeight="1">
      <c r="F4050" s="14"/>
    </row>
    <row r="4051" ht="22.5" customHeight="1">
      <c r="F4051" s="14"/>
    </row>
    <row r="4052" ht="22.5" customHeight="1">
      <c r="F4052" s="14"/>
    </row>
    <row r="4053" ht="22.5" customHeight="1">
      <c r="F4053" s="14"/>
    </row>
    <row r="4054" ht="22.5" customHeight="1">
      <c r="F4054" s="14"/>
    </row>
    <row r="4055" ht="22.5" customHeight="1">
      <c r="F4055" s="14"/>
    </row>
    <row r="4056" ht="22.5" customHeight="1">
      <c r="F4056" s="14"/>
    </row>
    <row r="4057" ht="22.5" customHeight="1">
      <c r="F4057" s="14"/>
    </row>
    <row r="4058" ht="22.5" customHeight="1">
      <c r="F4058" s="14"/>
    </row>
    <row r="4059" ht="22.5" customHeight="1">
      <c r="F4059" s="14"/>
    </row>
    <row r="4060" ht="22.5" customHeight="1">
      <c r="F4060" s="14"/>
    </row>
    <row r="4061" ht="22.5" customHeight="1">
      <c r="F4061" s="14"/>
    </row>
    <row r="4062" ht="22.5" customHeight="1">
      <c r="F4062" s="14"/>
    </row>
    <row r="4063" ht="22.5" customHeight="1">
      <c r="F4063" s="14"/>
    </row>
    <row r="4064" ht="22.5" customHeight="1">
      <c r="F4064" s="14"/>
    </row>
    <row r="4065" ht="22.5" customHeight="1">
      <c r="F4065" s="14"/>
    </row>
    <row r="4066" ht="22.5" customHeight="1">
      <c r="F4066" s="14"/>
    </row>
    <row r="4067" ht="22.5" customHeight="1">
      <c r="F4067" s="14"/>
    </row>
    <row r="4068" ht="22.5" customHeight="1">
      <c r="F4068" s="14"/>
    </row>
    <row r="4069" ht="22.5" customHeight="1">
      <c r="F4069" s="14"/>
    </row>
    <row r="4070" ht="22.5" customHeight="1">
      <c r="F4070" s="14"/>
    </row>
    <row r="4071" ht="22.5" customHeight="1">
      <c r="F4071" s="14"/>
    </row>
    <row r="4072" ht="22.5" customHeight="1">
      <c r="F4072" s="14"/>
    </row>
    <row r="4073" ht="22.5" customHeight="1">
      <c r="F4073" s="14"/>
    </row>
    <row r="4074" ht="22.5" customHeight="1">
      <c r="F4074" s="14"/>
    </row>
    <row r="4075" ht="22.5" customHeight="1">
      <c r="F4075" s="14"/>
    </row>
    <row r="4076" ht="22.5" customHeight="1">
      <c r="F4076" s="14"/>
    </row>
    <row r="4077" ht="22.5" customHeight="1">
      <c r="F4077" s="14"/>
    </row>
    <row r="4078" ht="22.5" customHeight="1">
      <c r="F4078" s="14"/>
    </row>
    <row r="4079" ht="22.5" customHeight="1">
      <c r="F4079" s="14"/>
    </row>
    <row r="4080" ht="22.5" customHeight="1">
      <c r="F4080" s="14"/>
    </row>
    <row r="4081" ht="22.5" customHeight="1">
      <c r="F4081" s="14"/>
    </row>
    <row r="4082" ht="22.5" customHeight="1">
      <c r="F4082" s="14"/>
    </row>
    <row r="4083" ht="22.5" customHeight="1">
      <c r="F4083" s="14"/>
    </row>
    <row r="4084" ht="22.5" customHeight="1">
      <c r="F4084" s="14"/>
    </row>
    <row r="4085" ht="22.5" customHeight="1">
      <c r="F4085" s="14"/>
    </row>
    <row r="4086" ht="22.5" customHeight="1">
      <c r="F4086" s="14"/>
    </row>
    <row r="4087" ht="22.5" customHeight="1">
      <c r="F4087" s="14"/>
    </row>
    <row r="4088" ht="22.5" customHeight="1">
      <c r="F4088" s="14"/>
    </row>
    <row r="4089" ht="22.5" customHeight="1">
      <c r="F4089" s="14"/>
    </row>
    <row r="4090" ht="22.5" customHeight="1">
      <c r="F4090" s="14"/>
    </row>
    <row r="4091" ht="22.5" customHeight="1">
      <c r="F4091" s="14"/>
    </row>
    <row r="4092" ht="22.5" customHeight="1">
      <c r="F4092" s="14"/>
    </row>
    <row r="4093" ht="22.5" customHeight="1">
      <c r="F4093" s="14"/>
    </row>
    <row r="4094" ht="22.5" customHeight="1">
      <c r="F4094" s="14"/>
    </row>
    <row r="4095" ht="22.5" customHeight="1">
      <c r="F4095" s="14"/>
    </row>
    <row r="4096" ht="22.5" customHeight="1">
      <c r="F4096" s="14"/>
    </row>
    <row r="4097" ht="22.5" customHeight="1">
      <c r="F4097" s="14"/>
    </row>
    <row r="4098" ht="22.5" customHeight="1">
      <c r="F4098" s="14"/>
    </row>
    <row r="4099" ht="22.5" customHeight="1">
      <c r="F4099" s="14"/>
    </row>
    <row r="4100" ht="22.5" customHeight="1">
      <c r="F4100" s="14"/>
    </row>
    <row r="4101" ht="22.5" customHeight="1">
      <c r="F4101" s="14"/>
    </row>
    <row r="4102" ht="22.5" customHeight="1">
      <c r="F4102" s="14"/>
    </row>
    <row r="4103" ht="22.5" customHeight="1">
      <c r="F4103" s="14"/>
    </row>
    <row r="4104" ht="22.5" customHeight="1">
      <c r="F4104" s="14"/>
    </row>
    <row r="4105" ht="22.5" customHeight="1">
      <c r="F4105" s="14"/>
    </row>
    <row r="4106" ht="22.5" customHeight="1">
      <c r="F4106" s="14"/>
    </row>
    <row r="4107" ht="22.5" customHeight="1">
      <c r="F4107" s="14"/>
    </row>
    <row r="4108" ht="22.5" customHeight="1">
      <c r="F4108" s="14"/>
    </row>
    <row r="4109" ht="22.5" customHeight="1">
      <c r="F4109" s="14"/>
    </row>
    <row r="4110" ht="22.5" customHeight="1">
      <c r="F4110" s="14"/>
    </row>
    <row r="4111" ht="22.5" customHeight="1">
      <c r="F4111" s="14"/>
    </row>
    <row r="4112" ht="22.5" customHeight="1">
      <c r="F4112" s="14"/>
    </row>
    <row r="4113" ht="22.5" customHeight="1">
      <c r="F4113" s="14"/>
    </row>
    <row r="4114" ht="22.5" customHeight="1">
      <c r="F4114" s="14"/>
    </row>
    <row r="4115" ht="22.5" customHeight="1">
      <c r="F4115" s="14"/>
    </row>
    <row r="4116" ht="22.5" customHeight="1">
      <c r="F4116" s="14"/>
    </row>
    <row r="4117" ht="22.5" customHeight="1">
      <c r="F4117" s="14"/>
    </row>
    <row r="4118" ht="22.5" customHeight="1">
      <c r="F4118" s="14"/>
    </row>
    <row r="4119" ht="22.5" customHeight="1">
      <c r="F4119" s="14"/>
    </row>
    <row r="4120" ht="22.5" customHeight="1">
      <c r="F4120" s="14"/>
    </row>
    <row r="4121" ht="22.5" customHeight="1">
      <c r="F4121" s="14"/>
    </row>
    <row r="4122" ht="22.5" customHeight="1">
      <c r="F4122" s="14"/>
    </row>
    <row r="4123" ht="22.5" customHeight="1">
      <c r="F4123" s="14"/>
    </row>
    <row r="4124" ht="22.5" customHeight="1">
      <c r="F4124" s="14"/>
    </row>
    <row r="4125" ht="22.5" customHeight="1">
      <c r="F4125" s="14"/>
    </row>
    <row r="4126" ht="22.5" customHeight="1">
      <c r="F4126" s="14"/>
    </row>
    <row r="4127" ht="22.5" customHeight="1">
      <c r="F4127" s="14"/>
    </row>
    <row r="4128" ht="22.5" customHeight="1">
      <c r="F4128" s="14"/>
    </row>
    <row r="4129" ht="22.5" customHeight="1">
      <c r="F4129" s="14"/>
    </row>
    <row r="4130" ht="22.5" customHeight="1">
      <c r="F4130" s="14"/>
    </row>
    <row r="4131" ht="22.5" customHeight="1">
      <c r="F4131" s="14"/>
    </row>
    <row r="4132" ht="22.5" customHeight="1">
      <c r="F4132" s="14"/>
    </row>
    <row r="4133" ht="22.5" customHeight="1">
      <c r="F4133" s="14"/>
    </row>
    <row r="4134" ht="22.5" customHeight="1">
      <c r="F4134" s="14"/>
    </row>
    <row r="4135" ht="22.5" customHeight="1">
      <c r="F4135" s="14"/>
    </row>
    <row r="4136" ht="22.5" customHeight="1">
      <c r="F4136" s="14"/>
    </row>
    <row r="4137" ht="22.5" customHeight="1">
      <c r="F4137" s="14"/>
    </row>
    <row r="4138" ht="22.5" customHeight="1">
      <c r="F4138" s="14"/>
    </row>
    <row r="4139" ht="22.5" customHeight="1">
      <c r="F4139" s="14"/>
    </row>
    <row r="4140" ht="22.5" customHeight="1">
      <c r="F4140" s="14"/>
    </row>
    <row r="4141" ht="22.5" customHeight="1">
      <c r="F4141" s="14"/>
    </row>
    <row r="4142" ht="22.5" customHeight="1">
      <c r="F4142" s="14"/>
    </row>
    <row r="4143" ht="22.5" customHeight="1">
      <c r="F4143" s="14"/>
    </row>
    <row r="4144" ht="22.5" customHeight="1">
      <c r="F4144" s="14"/>
    </row>
    <row r="4145" ht="22.5" customHeight="1">
      <c r="F4145" s="14"/>
    </row>
    <row r="4146" ht="22.5" customHeight="1">
      <c r="F4146" s="14"/>
    </row>
    <row r="4147" ht="22.5" customHeight="1">
      <c r="F4147" s="14"/>
    </row>
    <row r="4148" ht="22.5" customHeight="1">
      <c r="F4148" s="14"/>
    </row>
    <row r="4149" ht="22.5" customHeight="1">
      <c r="F4149" s="14"/>
    </row>
    <row r="4150" ht="22.5" customHeight="1">
      <c r="F4150" s="14"/>
    </row>
    <row r="4151" ht="22.5" customHeight="1">
      <c r="F4151" s="14"/>
    </row>
    <row r="4152" ht="22.5" customHeight="1">
      <c r="F4152" s="14"/>
    </row>
    <row r="4153" ht="22.5" customHeight="1">
      <c r="F4153" s="14"/>
    </row>
    <row r="4154" ht="22.5" customHeight="1">
      <c r="F4154" s="14"/>
    </row>
    <row r="4155" ht="22.5" customHeight="1">
      <c r="F4155" s="14"/>
    </row>
    <row r="4156" ht="22.5" customHeight="1">
      <c r="F4156" s="14"/>
    </row>
    <row r="4157" ht="22.5" customHeight="1">
      <c r="F4157" s="14"/>
    </row>
    <row r="4158" ht="22.5" customHeight="1">
      <c r="F4158" s="14"/>
    </row>
    <row r="4159" ht="22.5" customHeight="1">
      <c r="F4159" s="14"/>
    </row>
    <row r="4160" ht="22.5" customHeight="1">
      <c r="F4160" s="14"/>
    </row>
    <row r="4161" ht="22.5" customHeight="1">
      <c r="F4161" s="14"/>
    </row>
    <row r="4162" ht="22.5" customHeight="1">
      <c r="F4162" s="14"/>
    </row>
    <row r="4163" ht="22.5" customHeight="1">
      <c r="F4163" s="14"/>
    </row>
    <row r="4164" ht="22.5" customHeight="1">
      <c r="F4164" s="14"/>
    </row>
    <row r="4165" ht="22.5" customHeight="1">
      <c r="F4165" s="14"/>
    </row>
    <row r="4166" ht="22.5" customHeight="1">
      <c r="F4166" s="14"/>
    </row>
    <row r="4167" ht="22.5" customHeight="1">
      <c r="F4167" s="14"/>
    </row>
    <row r="4168" ht="22.5" customHeight="1">
      <c r="F4168" s="14"/>
    </row>
    <row r="4169" ht="22.5" customHeight="1">
      <c r="F4169" s="14"/>
    </row>
    <row r="4170" ht="22.5" customHeight="1">
      <c r="F4170" s="14"/>
    </row>
    <row r="4171" ht="22.5" customHeight="1">
      <c r="F4171" s="14"/>
    </row>
    <row r="4172" ht="22.5" customHeight="1">
      <c r="F4172" s="14"/>
    </row>
    <row r="4173" ht="22.5" customHeight="1">
      <c r="F4173" s="14"/>
    </row>
    <row r="4174" ht="22.5" customHeight="1">
      <c r="F4174" s="14"/>
    </row>
    <row r="4175" ht="22.5" customHeight="1">
      <c r="F4175" s="14"/>
    </row>
    <row r="4176" ht="22.5" customHeight="1">
      <c r="F4176" s="14"/>
    </row>
    <row r="4177" ht="22.5" customHeight="1">
      <c r="F4177" s="14"/>
    </row>
    <row r="4178" ht="22.5" customHeight="1">
      <c r="F4178" s="14"/>
    </row>
    <row r="4179" ht="22.5" customHeight="1">
      <c r="F4179" s="14"/>
    </row>
    <row r="4180" ht="22.5" customHeight="1">
      <c r="F4180" s="14"/>
    </row>
    <row r="4181" ht="22.5" customHeight="1">
      <c r="F4181" s="14"/>
    </row>
    <row r="4182" ht="22.5" customHeight="1">
      <c r="F4182" s="14"/>
    </row>
    <row r="4183" ht="22.5" customHeight="1">
      <c r="F4183" s="14"/>
    </row>
    <row r="4184" ht="22.5" customHeight="1">
      <c r="F4184" s="14"/>
    </row>
    <row r="4185" ht="22.5" customHeight="1">
      <c r="F4185" s="14"/>
    </row>
    <row r="4186" ht="22.5" customHeight="1">
      <c r="F4186" s="14"/>
    </row>
    <row r="4187" ht="22.5" customHeight="1">
      <c r="F4187" s="14"/>
    </row>
    <row r="4188" ht="22.5" customHeight="1">
      <c r="F4188" s="14"/>
    </row>
    <row r="4189" ht="22.5" customHeight="1">
      <c r="F4189" s="14"/>
    </row>
    <row r="4190" ht="22.5" customHeight="1">
      <c r="F4190" s="14"/>
    </row>
    <row r="4191" ht="22.5" customHeight="1">
      <c r="F4191" s="14"/>
    </row>
    <row r="4192" ht="22.5" customHeight="1">
      <c r="F4192" s="14"/>
    </row>
    <row r="4193" ht="22.5" customHeight="1">
      <c r="F4193" s="14"/>
    </row>
    <row r="4194" ht="22.5" customHeight="1">
      <c r="F4194" s="14"/>
    </row>
    <row r="4195" ht="22.5" customHeight="1">
      <c r="F4195" s="14"/>
    </row>
    <row r="4196" ht="22.5" customHeight="1">
      <c r="F4196" s="14"/>
    </row>
    <row r="4197" ht="22.5" customHeight="1">
      <c r="F4197" s="14"/>
    </row>
    <row r="4198" ht="22.5" customHeight="1">
      <c r="F4198" s="14"/>
    </row>
    <row r="4199" ht="22.5" customHeight="1">
      <c r="F4199" s="14"/>
    </row>
    <row r="4200" ht="22.5" customHeight="1">
      <c r="F4200" s="14"/>
    </row>
    <row r="4201" ht="22.5" customHeight="1">
      <c r="F4201" s="14"/>
    </row>
    <row r="4202" ht="22.5" customHeight="1">
      <c r="F4202" s="14"/>
    </row>
    <row r="4203" ht="22.5" customHeight="1">
      <c r="F4203" s="14"/>
    </row>
    <row r="4204" ht="22.5" customHeight="1">
      <c r="F4204" s="14"/>
    </row>
    <row r="4205" ht="22.5" customHeight="1">
      <c r="F4205" s="14"/>
    </row>
    <row r="4206" ht="22.5" customHeight="1">
      <c r="F4206" s="14"/>
    </row>
    <row r="4207" ht="22.5" customHeight="1">
      <c r="F4207" s="14"/>
    </row>
    <row r="4208" ht="22.5" customHeight="1">
      <c r="F4208" s="14"/>
    </row>
    <row r="4209" ht="22.5" customHeight="1">
      <c r="F4209" s="14"/>
    </row>
    <row r="4210" ht="22.5" customHeight="1">
      <c r="F4210" s="14"/>
    </row>
    <row r="4211" ht="22.5" customHeight="1">
      <c r="F4211" s="14"/>
    </row>
    <row r="4212" ht="22.5" customHeight="1">
      <c r="F4212" s="14"/>
    </row>
    <row r="4213" ht="22.5" customHeight="1">
      <c r="F4213" s="14"/>
    </row>
    <row r="4214" ht="22.5" customHeight="1">
      <c r="F4214" s="14"/>
    </row>
    <row r="4215" ht="22.5" customHeight="1">
      <c r="F4215" s="14"/>
    </row>
    <row r="4216" ht="22.5" customHeight="1">
      <c r="F4216" s="14"/>
    </row>
    <row r="4217" ht="22.5" customHeight="1">
      <c r="F4217" s="14"/>
    </row>
    <row r="4218" ht="22.5" customHeight="1">
      <c r="F4218" s="14"/>
    </row>
    <row r="4219" ht="22.5" customHeight="1">
      <c r="F4219" s="14"/>
    </row>
    <row r="4220" ht="22.5" customHeight="1">
      <c r="F4220" s="14"/>
    </row>
    <row r="4221" ht="22.5" customHeight="1">
      <c r="F4221" s="14"/>
    </row>
    <row r="4222" ht="22.5" customHeight="1">
      <c r="F4222" s="14"/>
    </row>
    <row r="4223" ht="22.5" customHeight="1">
      <c r="F4223" s="14"/>
    </row>
    <row r="4224" ht="22.5" customHeight="1">
      <c r="F4224" s="14"/>
    </row>
    <row r="4225" ht="22.5" customHeight="1">
      <c r="F4225" s="14"/>
    </row>
    <row r="4226" ht="22.5" customHeight="1">
      <c r="F4226" s="14"/>
    </row>
    <row r="4227" ht="22.5" customHeight="1">
      <c r="F4227" s="14"/>
    </row>
    <row r="4228" ht="22.5" customHeight="1">
      <c r="F4228" s="14"/>
    </row>
    <row r="4229" ht="22.5" customHeight="1">
      <c r="F4229" s="14"/>
    </row>
    <row r="4230" ht="22.5" customHeight="1">
      <c r="F4230" s="14"/>
    </row>
    <row r="4231" ht="22.5" customHeight="1">
      <c r="F4231" s="14"/>
    </row>
    <row r="4232" ht="22.5" customHeight="1">
      <c r="F4232" s="14"/>
    </row>
    <row r="4233" ht="22.5" customHeight="1">
      <c r="F4233" s="14"/>
    </row>
    <row r="4234" ht="22.5" customHeight="1">
      <c r="F4234" s="14"/>
    </row>
    <row r="4235" ht="22.5" customHeight="1">
      <c r="F4235" s="14"/>
    </row>
    <row r="4236" ht="22.5" customHeight="1">
      <c r="F4236" s="14"/>
    </row>
    <row r="4237" ht="22.5" customHeight="1">
      <c r="F4237" s="14"/>
    </row>
    <row r="4238" ht="22.5" customHeight="1">
      <c r="F4238" s="14"/>
    </row>
    <row r="4239" ht="22.5" customHeight="1">
      <c r="F4239" s="14"/>
    </row>
    <row r="4240" ht="22.5" customHeight="1">
      <c r="F4240" s="14"/>
    </row>
    <row r="4241" ht="22.5" customHeight="1">
      <c r="F4241" s="14"/>
    </row>
    <row r="4242" ht="22.5" customHeight="1">
      <c r="F4242" s="14"/>
    </row>
    <row r="4243" ht="22.5" customHeight="1">
      <c r="F4243" s="14"/>
    </row>
    <row r="4244" ht="22.5" customHeight="1">
      <c r="F4244" s="14"/>
    </row>
    <row r="4245" ht="22.5" customHeight="1">
      <c r="F4245" s="14"/>
    </row>
    <row r="4246" ht="22.5" customHeight="1">
      <c r="F4246" s="14"/>
    </row>
    <row r="4247" ht="22.5" customHeight="1">
      <c r="F4247" s="14"/>
    </row>
    <row r="4248" ht="22.5" customHeight="1">
      <c r="F4248" s="14"/>
    </row>
    <row r="4249" ht="22.5" customHeight="1">
      <c r="F4249" s="14"/>
    </row>
    <row r="4250" ht="22.5" customHeight="1">
      <c r="F4250" s="14"/>
    </row>
    <row r="4251" ht="22.5" customHeight="1">
      <c r="F4251" s="14"/>
    </row>
    <row r="4252" ht="22.5" customHeight="1">
      <c r="F4252" s="14"/>
    </row>
    <row r="4253" ht="22.5" customHeight="1">
      <c r="F4253" s="14"/>
    </row>
    <row r="4254" ht="22.5" customHeight="1">
      <c r="F4254" s="14"/>
    </row>
    <row r="4255" ht="22.5" customHeight="1">
      <c r="F4255" s="14"/>
    </row>
    <row r="4256" ht="22.5" customHeight="1">
      <c r="F4256" s="14"/>
    </row>
    <row r="4257" ht="22.5" customHeight="1">
      <c r="F4257" s="14"/>
    </row>
    <row r="4258" ht="22.5" customHeight="1">
      <c r="F4258" s="14"/>
    </row>
    <row r="4259" ht="22.5" customHeight="1">
      <c r="F4259" s="14"/>
    </row>
    <row r="4260" ht="22.5" customHeight="1">
      <c r="F4260" s="14"/>
    </row>
    <row r="4261" ht="22.5" customHeight="1">
      <c r="F4261" s="14"/>
    </row>
    <row r="4262" ht="22.5" customHeight="1">
      <c r="F4262" s="14"/>
    </row>
    <row r="4263" ht="22.5" customHeight="1">
      <c r="F4263" s="14"/>
    </row>
    <row r="4264" ht="22.5" customHeight="1">
      <c r="F4264" s="14"/>
    </row>
    <row r="4265" ht="22.5" customHeight="1">
      <c r="F4265" s="14"/>
    </row>
    <row r="4266" ht="22.5" customHeight="1">
      <c r="F4266" s="14"/>
    </row>
    <row r="4267" ht="22.5" customHeight="1">
      <c r="F4267" s="14"/>
    </row>
    <row r="4268" ht="22.5" customHeight="1">
      <c r="F4268" s="14"/>
    </row>
    <row r="4269" ht="22.5" customHeight="1">
      <c r="F4269" s="14"/>
    </row>
    <row r="4270" ht="22.5" customHeight="1">
      <c r="F4270" s="14"/>
    </row>
    <row r="4271" ht="22.5" customHeight="1">
      <c r="F4271" s="14"/>
    </row>
    <row r="4272" ht="22.5" customHeight="1">
      <c r="F4272" s="14"/>
    </row>
    <row r="4273" ht="22.5" customHeight="1">
      <c r="F4273" s="14"/>
    </row>
    <row r="4274" ht="22.5" customHeight="1">
      <c r="F4274" s="14"/>
    </row>
    <row r="4275" ht="22.5" customHeight="1">
      <c r="F4275" s="14"/>
    </row>
    <row r="4276" ht="22.5" customHeight="1">
      <c r="F4276" s="14"/>
    </row>
    <row r="4277" ht="22.5" customHeight="1">
      <c r="F4277" s="14"/>
    </row>
    <row r="4278" ht="22.5" customHeight="1">
      <c r="F4278" s="14"/>
    </row>
    <row r="4279" ht="22.5" customHeight="1">
      <c r="F4279" s="14"/>
    </row>
    <row r="4280" ht="22.5" customHeight="1">
      <c r="F4280" s="14"/>
    </row>
    <row r="4281" ht="22.5" customHeight="1">
      <c r="F4281" s="14"/>
    </row>
    <row r="4282" ht="22.5" customHeight="1">
      <c r="F4282" s="14"/>
    </row>
    <row r="4283" ht="22.5" customHeight="1">
      <c r="F4283" s="14"/>
    </row>
    <row r="4284" ht="22.5" customHeight="1">
      <c r="F4284" s="14"/>
    </row>
    <row r="4285" ht="22.5" customHeight="1">
      <c r="F4285" s="14"/>
    </row>
    <row r="4286" ht="22.5" customHeight="1">
      <c r="F4286" s="14"/>
    </row>
    <row r="4287" ht="22.5" customHeight="1">
      <c r="F4287" s="14"/>
    </row>
    <row r="4288" ht="22.5" customHeight="1">
      <c r="F4288" s="14"/>
    </row>
    <row r="4289" ht="22.5" customHeight="1">
      <c r="F4289" s="14"/>
    </row>
    <row r="4290" ht="22.5" customHeight="1">
      <c r="F4290" s="14"/>
    </row>
    <row r="4291" ht="22.5" customHeight="1">
      <c r="F4291" s="14"/>
    </row>
    <row r="4292" ht="22.5" customHeight="1">
      <c r="F4292" s="14"/>
    </row>
    <row r="4293" ht="22.5" customHeight="1">
      <c r="F4293" s="14"/>
    </row>
    <row r="4294" ht="22.5" customHeight="1">
      <c r="F4294" s="14"/>
    </row>
    <row r="4295" ht="22.5" customHeight="1">
      <c r="F4295" s="14"/>
    </row>
    <row r="4296" ht="22.5" customHeight="1">
      <c r="F4296" s="14"/>
    </row>
    <row r="4297" ht="22.5" customHeight="1">
      <c r="F4297" s="14"/>
    </row>
    <row r="4298" ht="22.5" customHeight="1">
      <c r="F4298" s="14"/>
    </row>
    <row r="4299" ht="22.5" customHeight="1">
      <c r="F4299" s="14"/>
    </row>
    <row r="4300" ht="22.5" customHeight="1">
      <c r="F4300" s="14"/>
    </row>
    <row r="4301" ht="22.5" customHeight="1">
      <c r="F4301" s="14"/>
    </row>
    <row r="4302" ht="22.5" customHeight="1">
      <c r="F4302" s="14"/>
    </row>
    <row r="4303" ht="22.5" customHeight="1">
      <c r="F4303" s="14"/>
    </row>
    <row r="4304" ht="22.5" customHeight="1">
      <c r="F4304" s="14"/>
    </row>
    <row r="4305" ht="22.5" customHeight="1">
      <c r="F4305" s="14"/>
    </row>
    <row r="4306" ht="22.5" customHeight="1">
      <c r="F4306" s="14"/>
    </row>
    <row r="4307" ht="22.5" customHeight="1">
      <c r="F4307" s="14"/>
    </row>
    <row r="4308" ht="22.5" customHeight="1">
      <c r="F4308" s="14"/>
    </row>
    <row r="4309" ht="22.5" customHeight="1">
      <c r="F4309" s="14"/>
    </row>
    <row r="4310" ht="22.5" customHeight="1">
      <c r="F4310" s="14"/>
    </row>
    <row r="4311" ht="22.5" customHeight="1">
      <c r="F4311" s="14"/>
    </row>
    <row r="4312" ht="22.5" customHeight="1">
      <c r="F4312" s="14"/>
    </row>
    <row r="4313" ht="22.5" customHeight="1">
      <c r="F4313" s="14"/>
    </row>
    <row r="4314" ht="22.5" customHeight="1">
      <c r="F4314" s="14"/>
    </row>
    <row r="4315" ht="22.5" customHeight="1">
      <c r="F4315" s="14"/>
    </row>
    <row r="4316" ht="22.5" customHeight="1">
      <c r="F4316" s="14"/>
    </row>
    <row r="4317" ht="22.5" customHeight="1">
      <c r="F4317" s="14"/>
    </row>
    <row r="4318" ht="22.5" customHeight="1">
      <c r="F4318" s="14"/>
    </row>
    <row r="4319" ht="22.5" customHeight="1">
      <c r="F4319" s="14"/>
    </row>
    <row r="4320" ht="22.5" customHeight="1">
      <c r="F4320" s="14"/>
    </row>
    <row r="4321" ht="22.5" customHeight="1">
      <c r="F4321" s="14"/>
    </row>
    <row r="4322" ht="22.5" customHeight="1">
      <c r="F4322" s="14"/>
    </row>
    <row r="4323" ht="22.5" customHeight="1">
      <c r="F4323" s="14"/>
    </row>
    <row r="4324" ht="22.5" customHeight="1">
      <c r="F4324" s="14"/>
    </row>
    <row r="4325" ht="22.5" customHeight="1">
      <c r="F4325" s="14"/>
    </row>
    <row r="4326" ht="22.5" customHeight="1">
      <c r="F4326" s="14"/>
    </row>
    <row r="4327" ht="22.5" customHeight="1">
      <c r="F4327" s="14"/>
    </row>
    <row r="4328" ht="22.5" customHeight="1">
      <c r="F4328" s="14"/>
    </row>
    <row r="4329" ht="22.5" customHeight="1">
      <c r="F4329" s="14"/>
    </row>
    <row r="4330" ht="22.5" customHeight="1">
      <c r="F4330" s="14"/>
    </row>
    <row r="4331" ht="22.5" customHeight="1">
      <c r="F4331" s="14"/>
    </row>
    <row r="4332" ht="22.5" customHeight="1">
      <c r="F4332" s="14"/>
    </row>
    <row r="4333" ht="22.5" customHeight="1">
      <c r="F4333" s="14"/>
    </row>
    <row r="4334" ht="22.5" customHeight="1">
      <c r="F4334" s="14"/>
    </row>
    <row r="4335" ht="22.5" customHeight="1">
      <c r="F4335" s="14"/>
    </row>
    <row r="4336" ht="22.5" customHeight="1">
      <c r="F4336" s="14"/>
    </row>
    <row r="4337" ht="22.5" customHeight="1">
      <c r="F4337" s="14"/>
    </row>
    <row r="4338" ht="22.5" customHeight="1">
      <c r="F4338" s="14"/>
    </row>
    <row r="4339" ht="22.5" customHeight="1">
      <c r="F4339" s="14"/>
    </row>
    <row r="4340" ht="22.5" customHeight="1">
      <c r="F4340" s="14"/>
    </row>
    <row r="4341" ht="22.5" customHeight="1">
      <c r="F4341" s="14"/>
    </row>
    <row r="4342" ht="22.5" customHeight="1">
      <c r="F4342" s="14"/>
    </row>
    <row r="4343" ht="22.5" customHeight="1">
      <c r="F4343" s="14"/>
    </row>
    <row r="4344" ht="22.5" customHeight="1">
      <c r="F4344" s="14"/>
    </row>
    <row r="4345" ht="22.5" customHeight="1">
      <c r="F4345" s="14"/>
    </row>
    <row r="4346" ht="22.5" customHeight="1">
      <c r="F4346" s="14"/>
    </row>
    <row r="4347" ht="22.5" customHeight="1">
      <c r="F4347" s="14"/>
    </row>
    <row r="4348" ht="22.5" customHeight="1">
      <c r="F4348" s="14"/>
    </row>
    <row r="4349" ht="22.5" customHeight="1">
      <c r="F4349" s="14"/>
    </row>
    <row r="4350" ht="22.5" customHeight="1">
      <c r="F4350" s="14"/>
    </row>
    <row r="4351" ht="22.5" customHeight="1">
      <c r="F4351" s="14"/>
    </row>
    <row r="4352" ht="22.5" customHeight="1">
      <c r="F4352" s="14"/>
    </row>
    <row r="4353" ht="22.5" customHeight="1">
      <c r="F4353" s="14"/>
    </row>
    <row r="4354" ht="22.5" customHeight="1">
      <c r="F4354" s="14"/>
    </row>
    <row r="4355" ht="22.5" customHeight="1">
      <c r="F4355" s="14"/>
    </row>
    <row r="4356" ht="22.5" customHeight="1">
      <c r="F4356" s="14"/>
    </row>
    <row r="4357" ht="22.5" customHeight="1">
      <c r="F4357" s="14"/>
    </row>
    <row r="4358" ht="22.5" customHeight="1">
      <c r="F4358" s="14"/>
    </row>
    <row r="4359" ht="22.5" customHeight="1">
      <c r="F4359" s="14"/>
    </row>
    <row r="4360" ht="22.5" customHeight="1">
      <c r="F4360" s="14"/>
    </row>
    <row r="4361" ht="22.5" customHeight="1">
      <c r="F4361" s="14"/>
    </row>
    <row r="4362" ht="22.5" customHeight="1">
      <c r="F4362" s="14"/>
    </row>
    <row r="4363" ht="22.5" customHeight="1">
      <c r="F4363" s="14"/>
    </row>
    <row r="4364" ht="22.5" customHeight="1">
      <c r="F4364" s="14"/>
    </row>
    <row r="4365" ht="22.5" customHeight="1">
      <c r="F4365" s="14"/>
    </row>
    <row r="4366" ht="22.5" customHeight="1">
      <c r="F4366" s="14"/>
    </row>
    <row r="4367" ht="22.5" customHeight="1">
      <c r="F4367" s="14"/>
    </row>
    <row r="4368" ht="22.5" customHeight="1">
      <c r="F4368" s="14"/>
    </row>
    <row r="4369" ht="22.5" customHeight="1">
      <c r="F4369" s="14"/>
    </row>
    <row r="4370" ht="22.5" customHeight="1">
      <c r="F4370" s="14"/>
    </row>
    <row r="4371" ht="22.5" customHeight="1">
      <c r="F4371" s="14"/>
    </row>
    <row r="4372" ht="22.5" customHeight="1">
      <c r="F4372" s="14"/>
    </row>
    <row r="4373" ht="22.5" customHeight="1">
      <c r="F4373" s="14"/>
    </row>
    <row r="4374" ht="22.5" customHeight="1">
      <c r="F4374" s="14"/>
    </row>
    <row r="4375" ht="22.5" customHeight="1">
      <c r="F4375" s="14"/>
    </row>
    <row r="4376" ht="22.5" customHeight="1">
      <c r="F4376" s="14"/>
    </row>
    <row r="4377" ht="22.5" customHeight="1">
      <c r="F4377" s="14"/>
    </row>
    <row r="4378" ht="22.5" customHeight="1">
      <c r="F4378" s="14"/>
    </row>
    <row r="4379" ht="22.5" customHeight="1">
      <c r="F4379" s="14"/>
    </row>
    <row r="4380" ht="22.5" customHeight="1">
      <c r="F4380" s="14"/>
    </row>
    <row r="4381" ht="22.5" customHeight="1">
      <c r="F4381" s="14"/>
    </row>
    <row r="4382" ht="22.5" customHeight="1">
      <c r="F4382" s="14"/>
    </row>
    <row r="4383" ht="22.5" customHeight="1">
      <c r="F4383" s="14"/>
    </row>
    <row r="4384" ht="22.5" customHeight="1">
      <c r="F4384" s="14"/>
    </row>
    <row r="4385" ht="22.5" customHeight="1">
      <c r="F4385" s="14"/>
    </row>
    <row r="4386" ht="22.5" customHeight="1">
      <c r="F4386" s="14"/>
    </row>
    <row r="4387" ht="22.5" customHeight="1">
      <c r="F4387" s="14"/>
    </row>
    <row r="4388" ht="22.5" customHeight="1">
      <c r="F4388" s="14"/>
    </row>
    <row r="4389" ht="22.5" customHeight="1">
      <c r="F4389" s="14"/>
    </row>
    <row r="4390" ht="22.5" customHeight="1">
      <c r="F4390" s="14"/>
    </row>
    <row r="4391" ht="22.5" customHeight="1">
      <c r="F4391" s="14"/>
    </row>
    <row r="4392" ht="22.5" customHeight="1">
      <c r="F4392" s="14"/>
    </row>
    <row r="4393" ht="22.5" customHeight="1">
      <c r="F4393" s="14"/>
    </row>
    <row r="4394" ht="22.5" customHeight="1">
      <c r="F4394" s="14"/>
    </row>
    <row r="4395" ht="22.5" customHeight="1">
      <c r="F4395" s="14"/>
    </row>
    <row r="4396" ht="22.5" customHeight="1">
      <c r="F4396" s="14"/>
    </row>
    <row r="4397" ht="22.5" customHeight="1">
      <c r="F4397" s="14"/>
    </row>
    <row r="4398" ht="22.5" customHeight="1">
      <c r="F4398" s="14"/>
    </row>
    <row r="4399" ht="22.5" customHeight="1">
      <c r="F4399" s="14"/>
    </row>
    <row r="4400" ht="22.5" customHeight="1">
      <c r="F4400" s="14"/>
    </row>
    <row r="4401" ht="22.5" customHeight="1">
      <c r="F4401" s="14"/>
    </row>
    <row r="4402" ht="22.5" customHeight="1">
      <c r="F4402" s="14"/>
    </row>
    <row r="4403" ht="22.5" customHeight="1">
      <c r="F4403" s="14"/>
    </row>
    <row r="4404" ht="22.5" customHeight="1">
      <c r="F4404" s="14"/>
    </row>
    <row r="4405" ht="22.5" customHeight="1">
      <c r="F4405" s="14"/>
    </row>
    <row r="4406" ht="22.5" customHeight="1">
      <c r="F4406" s="14"/>
    </row>
    <row r="4407" ht="22.5" customHeight="1">
      <c r="F4407" s="14"/>
    </row>
    <row r="4408" ht="22.5" customHeight="1">
      <c r="F4408" s="14"/>
    </row>
    <row r="4409" ht="22.5" customHeight="1">
      <c r="F4409" s="14"/>
    </row>
    <row r="4410" ht="22.5" customHeight="1">
      <c r="F4410" s="14"/>
    </row>
    <row r="4411" ht="22.5" customHeight="1">
      <c r="F4411" s="14"/>
    </row>
    <row r="4412" ht="22.5" customHeight="1">
      <c r="F4412" s="14"/>
    </row>
    <row r="4413" ht="22.5" customHeight="1">
      <c r="F4413" s="14"/>
    </row>
    <row r="4414" ht="22.5" customHeight="1">
      <c r="F4414" s="14"/>
    </row>
    <row r="4415" ht="22.5" customHeight="1">
      <c r="F4415" s="14"/>
    </row>
    <row r="4416" ht="22.5" customHeight="1">
      <c r="F4416" s="14"/>
    </row>
    <row r="4417" ht="22.5" customHeight="1">
      <c r="F4417" s="14"/>
    </row>
    <row r="4418" ht="22.5" customHeight="1">
      <c r="F4418" s="14"/>
    </row>
    <row r="4419" ht="22.5" customHeight="1">
      <c r="F4419" s="14"/>
    </row>
    <row r="4420" ht="22.5" customHeight="1">
      <c r="F4420" s="14"/>
    </row>
    <row r="4421" ht="22.5" customHeight="1">
      <c r="F4421" s="14"/>
    </row>
    <row r="4422" ht="22.5" customHeight="1">
      <c r="F4422" s="14"/>
    </row>
    <row r="4423" ht="22.5" customHeight="1">
      <c r="F4423" s="14"/>
    </row>
    <row r="4424" ht="22.5" customHeight="1">
      <c r="F4424" s="14"/>
    </row>
    <row r="4425" ht="22.5" customHeight="1">
      <c r="F4425" s="14"/>
    </row>
    <row r="4426" ht="22.5" customHeight="1">
      <c r="F4426" s="14"/>
    </row>
    <row r="4427" ht="22.5" customHeight="1">
      <c r="F4427" s="14"/>
    </row>
    <row r="4428" ht="22.5" customHeight="1">
      <c r="F4428" s="14"/>
    </row>
    <row r="4429" ht="22.5" customHeight="1">
      <c r="F4429" s="14"/>
    </row>
    <row r="4430" ht="22.5" customHeight="1">
      <c r="F4430" s="14"/>
    </row>
    <row r="4431" ht="22.5" customHeight="1">
      <c r="F4431" s="14"/>
    </row>
    <row r="4432" ht="22.5" customHeight="1">
      <c r="F4432" s="14"/>
    </row>
    <row r="4433" ht="22.5" customHeight="1">
      <c r="F4433" s="14"/>
    </row>
    <row r="4434" ht="22.5" customHeight="1">
      <c r="F4434" s="14"/>
    </row>
    <row r="4435" ht="22.5" customHeight="1">
      <c r="F4435" s="14"/>
    </row>
    <row r="4436" ht="22.5" customHeight="1">
      <c r="F4436" s="14"/>
    </row>
    <row r="4437" ht="22.5" customHeight="1">
      <c r="F4437" s="14"/>
    </row>
    <row r="4438" ht="22.5" customHeight="1">
      <c r="F4438" s="14"/>
    </row>
    <row r="4439" ht="22.5" customHeight="1">
      <c r="F4439" s="14"/>
    </row>
    <row r="4440" ht="22.5" customHeight="1">
      <c r="F4440" s="14"/>
    </row>
    <row r="4441" ht="22.5" customHeight="1">
      <c r="F4441" s="14"/>
    </row>
    <row r="4442" ht="22.5" customHeight="1">
      <c r="F4442" s="14"/>
    </row>
    <row r="4443" ht="22.5" customHeight="1">
      <c r="F4443" s="14"/>
    </row>
    <row r="4444" ht="22.5" customHeight="1">
      <c r="F4444" s="14"/>
    </row>
    <row r="4445" ht="22.5" customHeight="1">
      <c r="F4445" s="14"/>
    </row>
    <row r="4446" ht="22.5" customHeight="1">
      <c r="F4446" s="14"/>
    </row>
    <row r="4447" ht="22.5" customHeight="1">
      <c r="F4447" s="14"/>
    </row>
    <row r="4448" ht="22.5" customHeight="1">
      <c r="F4448" s="14"/>
    </row>
    <row r="4449" ht="22.5" customHeight="1">
      <c r="F4449" s="14"/>
    </row>
    <row r="4450" ht="22.5" customHeight="1">
      <c r="F4450" s="14"/>
    </row>
    <row r="4451" ht="22.5" customHeight="1">
      <c r="F4451" s="14"/>
    </row>
    <row r="4452" ht="22.5" customHeight="1">
      <c r="F4452" s="14"/>
    </row>
    <row r="4453" ht="22.5" customHeight="1">
      <c r="F4453" s="14"/>
    </row>
    <row r="4454" ht="22.5" customHeight="1">
      <c r="F4454" s="14"/>
    </row>
    <row r="4455" ht="22.5" customHeight="1">
      <c r="F4455" s="14"/>
    </row>
    <row r="4456" ht="22.5" customHeight="1">
      <c r="F4456" s="14"/>
    </row>
    <row r="4457" ht="22.5" customHeight="1">
      <c r="F4457" s="14"/>
    </row>
    <row r="4458" ht="22.5" customHeight="1">
      <c r="F4458" s="14"/>
    </row>
    <row r="4459" ht="22.5" customHeight="1">
      <c r="F4459" s="14"/>
    </row>
    <row r="4460" ht="22.5" customHeight="1">
      <c r="F4460" s="14"/>
    </row>
    <row r="4461" ht="22.5" customHeight="1">
      <c r="F4461" s="14"/>
    </row>
    <row r="4462" ht="22.5" customHeight="1">
      <c r="F4462" s="14"/>
    </row>
    <row r="4463" ht="22.5" customHeight="1">
      <c r="F4463" s="14"/>
    </row>
    <row r="4464" ht="22.5" customHeight="1">
      <c r="F4464" s="14"/>
    </row>
    <row r="4465" ht="22.5" customHeight="1">
      <c r="F4465" s="14"/>
    </row>
    <row r="4466" ht="22.5" customHeight="1">
      <c r="F4466" s="14"/>
    </row>
    <row r="4467" ht="22.5" customHeight="1">
      <c r="F4467" s="14"/>
    </row>
    <row r="4468" ht="22.5" customHeight="1">
      <c r="F4468" s="14"/>
    </row>
    <row r="4469" ht="22.5" customHeight="1">
      <c r="F4469" s="14"/>
    </row>
    <row r="4470" ht="22.5" customHeight="1">
      <c r="F4470" s="14"/>
    </row>
    <row r="4471" ht="22.5" customHeight="1">
      <c r="F4471" s="14"/>
    </row>
    <row r="4472" ht="22.5" customHeight="1">
      <c r="F4472" s="14"/>
    </row>
    <row r="4473" ht="22.5" customHeight="1">
      <c r="F4473" s="14"/>
    </row>
    <row r="4474" ht="22.5" customHeight="1">
      <c r="F4474" s="14"/>
    </row>
    <row r="4475" ht="22.5" customHeight="1">
      <c r="F4475" s="14"/>
    </row>
    <row r="4476" ht="22.5" customHeight="1">
      <c r="F4476" s="14"/>
    </row>
    <row r="4477" ht="22.5" customHeight="1">
      <c r="F4477" s="14"/>
    </row>
    <row r="4478" ht="22.5" customHeight="1">
      <c r="F4478" s="14"/>
    </row>
    <row r="4479" ht="22.5" customHeight="1">
      <c r="F4479" s="14"/>
    </row>
    <row r="4480" ht="22.5" customHeight="1">
      <c r="F4480" s="14"/>
    </row>
    <row r="4481" ht="22.5" customHeight="1">
      <c r="F4481" s="14"/>
    </row>
    <row r="4482" ht="22.5" customHeight="1">
      <c r="F4482" s="14"/>
    </row>
    <row r="4483" ht="22.5" customHeight="1">
      <c r="F4483" s="14"/>
    </row>
    <row r="4484" ht="22.5" customHeight="1">
      <c r="F4484" s="14"/>
    </row>
    <row r="4485" ht="22.5" customHeight="1">
      <c r="F4485" s="14"/>
    </row>
    <row r="4486" ht="22.5" customHeight="1">
      <c r="F4486" s="14"/>
    </row>
    <row r="4487" ht="22.5" customHeight="1">
      <c r="F4487" s="14"/>
    </row>
    <row r="4488" ht="22.5" customHeight="1">
      <c r="F4488" s="14"/>
    </row>
    <row r="4489" ht="22.5" customHeight="1">
      <c r="F4489" s="14"/>
    </row>
    <row r="4490" ht="22.5" customHeight="1">
      <c r="F4490" s="14"/>
    </row>
    <row r="4491" ht="22.5" customHeight="1">
      <c r="F4491" s="14"/>
    </row>
    <row r="4492" ht="22.5" customHeight="1">
      <c r="F4492" s="14"/>
    </row>
    <row r="4493" ht="22.5" customHeight="1">
      <c r="F4493" s="14"/>
    </row>
    <row r="4494" ht="22.5" customHeight="1">
      <c r="F4494" s="14"/>
    </row>
    <row r="4495" ht="22.5" customHeight="1">
      <c r="F4495" s="14"/>
    </row>
    <row r="4496" ht="22.5" customHeight="1">
      <c r="F4496" s="14"/>
    </row>
    <row r="4497" ht="22.5" customHeight="1">
      <c r="F4497" s="14"/>
    </row>
    <row r="4498" ht="22.5" customHeight="1">
      <c r="F4498" s="14"/>
    </row>
    <row r="4499" ht="22.5" customHeight="1">
      <c r="F4499" s="14"/>
    </row>
    <row r="4500" ht="22.5" customHeight="1">
      <c r="F4500" s="14"/>
    </row>
    <row r="4501" ht="22.5" customHeight="1">
      <c r="F4501" s="14"/>
    </row>
    <row r="4502" ht="22.5" customHeight="1">
      <c r="F4502" s="14"/>
    </row>
    <row r="4503" ht="22.5" customHeight="1">
      <c r="F4503" s="14"/>
    </row>
    <row r="4504" ht="22.5" customHeight="1">
      <c r="F4504" s="14"/>
    </row>
    <row r="4505" ht="22.5" customHeight="1">
      <c r="F4505" s="14"/>
    </row>
    <row r="4506" ht="22.5" customHeight="1">
      <c r="F4506" s="14"/>
    </row>
    <row r="4507" ht="22.5" customHeight="1">
      <c r="F4507" s="14"/>
    </row>
    <row r="4508" ht="22.5" customHeight="1">
      <c r="F4508" s="14"/>
    </row>
    <row r="4509" ht="22.5" customHeight="1">
      <c r="F4509" s="14"/>
    </row>
    <row r="4510" ht="22.5" customHeight="1">
      <c r="F4510" s="14"/>
    </row>
    <row r="4511" ht="22.5" customHeight="1">
      <c r="F4511" s="14"/>
    </row>
    <row r="4512" ht="22.5" customHeight="1">
      <c r="F4512" s="14"/>
    </row>
    <row r="4513" ht="22.5" customHeight="1">
      <c r="F4513" s="14"/>
    </row>
    <row r="4514" ht="22.5" customHeight="1">
      <c r="F4514" s="14"/>
    </row>
    <row r="4515" ht="22.5" customHeight="1">
      <c r="F4515" s="14"/>
    </row>
    <row r="4516" ht="22.5" customHeight="1">
      <c r="F4516" s="14"/>
    </row>
    <row r="4517" ht="22.5" customHeight="1">
      <c r="F4517" s="14"/>
    </row>
    <row r="4518" ht="22.5" customHeight="1">
      <c r="F4518" s="14"/>
    </row>
    <row r="4519" ht="22.5" customHeight="1">
      <c r="F4519" s="14"/>
    </row>
    <row r="4520" ht="22.5" customHeight="1">
      <c r="F4520" s="14"/>
    </row>
    <row r="4521" ht="22.5" customHeight="1">
      <c r="F4521" s="14"/>
    </row>
    <row r="4522" ht="22.5" customHeight="1">
      <c r="F4522" s="14"/>
    </row>
    <row r="4523" ht="22.5" customHeight="1">
      <c r="F4523" s="14"/>
    </row>
    <row r="4524" ht="22.5" customHeight="1">
      <c r="F4524" s="14"/>
    </row>
    <row r="4525" ht="22.5" customHeight="1">
      <c r="F4525" s="14"/>
    </row>
    <row r="4526" ht="22.5" customHeight="1">
      <c r="F4526" s="14"/>
    </row>
    <row r="4527" ht="22.5" customHeight="1">
      <c r="F4527" s="14"/>
    </row>
    <row r="4528" ht="22.5" customHeight="1">
      <c r="F4528" s="14"/>
    </row>
    <row r="4529" ht="22.5" customHeight="1">
      <c r="F4529" s="14"/>
    </row>
    <row r="4530" ht="22.5" customHeight="1">
      <c r="F4530" s="14"/>
    </row>
    <row r="4531" ht="22.5" customHeight="1">
      <c r="F4531" s="14"/>
    </row>
    <row r="4532" ht="22.5" customHeight="1">
      <c r="F4532" s="14"/>
    </row>
    <row r="4533" ht="22.5" customHeight="1">
      <c r="F4533" s="14"/>
    </row>
    <row r="4534" ht="22.5" customHeight="1">
      <c r="F4534" s="14"/>
    </row>
    <row r="4535" ht="22.5" customHeight="1">
      <c r="F4535" s="14"/>
    </row>
    <row r="4536" ht="22.5" customHeight="1">
      <c r="F4536" s="14"/>
    </row>
    <row r="4537" ht="22.5" customHeight="1">
      <c r="F4537" s="14"/>
    </row>
    <row r="4538" ht="22.5" customHeight="1">
      <c r="F4538" s="14"/>
    </row>
    <row r="4539" ht="22.5" customHeight="1">
      <c r="F4539" s="14"/>
    </row>
    <row r="4540" ht="22.5" customHeight="1">
      <c r="F4540" s="14"/>
    </row>
    <row r="4541" ht="22.5" customHeight="1">
      <c r="F4541" s="14"/>
    </row>
    <row r="4542" ht="22.5" customHeight="1">
      <c r="F4542" s="14"/>
    </row>
    <row r="4543" ht="22.5" customHeight="1">
      <c r="F4543" s="14"/>
    </row>
    <row r="4544" ht="22.5" customHeight="1">
      <c r="F4544" s="14"/>
    </row>
    <row r="4545" ht="22.5" customHeight="1">
      <c r="F4545" s="14"/>
    </row>
    <row r="4546" ht="22.5" customHeight="1">
      <c r="F4546" s="14"/>
    </row>
    <row r="4547" ht="22.5" customHeight="1">
      <c r="F4547" s="14"/>
    </row>
    <row r="4548" ht="22.5" customHeight="1">
      <c r="F4548" s="14"/>
    </row>
    <row r="4549" ht="22.5" customHeight="1">
      <c r="F4549" s="14"/>
    </row>
    <row r="4550" ht="22.5" customHeight="1">
      <c r="F4550" s="14"/>
    </row>
    <row r="4551" ht="22.5" customHeight="1">
      <c r="F4551" s="14"/>
    </row>
    <row r="4552" ht="22.5" customHeight="1">
      <c r="F4552" s="14"/>
    </row>
    <row r="4553" ht="22.5" customHeight="1">
      <c r="F4553" s="14"/>
    </row>
    <row r="4554" ht="22.5" customHeight="1">
      <c r="F4554" s="14"/>
    </row>
    <row r="4555" ht="22.5" customHeight="1">
      <c r="F4555" s="14"/>
    </row>
    <row r="4556" ht="22.5" customHeight="1">
      <c r="F4556" s="14"/>
    </row>
    <row r="4557" ht="22.5" customHeight="1">
      <c r="F4557" s="14"/>
    </row>
    <row r="4558" ht="22.5" customHeight="1">
      <c r="F4558" s="14"/>
    </row>
    <row r="4559" ht="22.5" customHeight="1">
      <c r="F4559" s="14"/>
    </row>
    <row r="4560" ht="22.5" customHeight="1">
      <c r="F4560" s="14"/>
    </row>
    <row r="4561" ht="22.5" customHeight="1">
      <c r="F4561" s="14"/>
    </row>
    <row r="4562" ht="22.5" customHeight="1">
      <c r="F4562" s="14"/>
    </row>
    <row r="4563" ht="22.5" customHeight="1">
      <c r="F4563" s="14"/>
    </row>
    <row r="4564" ht="22.5" customHeight="1">
      <c r="F4564" s="14"/>
    </row>
    <row r="4565" ht="22.5" customHeight="1">
      <c r="F4565" s="14"/>
    </row>
    <row r="4566" ht="22.5" customHeight="1">
      <c r="F4566" s="14"/>
    </row>
    <row r="4567" ht="22.5" customHeight="1">
      <c r="F4567" s="14"/>
    </row>
    <row r="4568" ht="22.5" customHeight="1">
      <c r="F4568" s="14"/>
    </row>
    <row r="4569" ht="22.5" customHeight="1">
      <c r="F4569" s="14"/>
    </row>
    <row r="4570" ht="22.5" customHeight="1">
      <c r="F4570" s="14"/>
    </row>
    <row r="4571" ht="22.5" customHeight="1">
      <c r="F4571" s="14"/>
    </row>
    <row r="4572" ht="22.5" customHeight="1">
      <c r="F4572" s="14"/>
    </row>
    <row r="4573" ht="22.5" customHeight="1">
      <c r="F4573" s="14"/>
    </row>
    <row r="4574" ht="22.5" customHeight="1">
      <c r="F4574" s="14"/>
    </row>
    <row r="4575" ht="22.5" customHeight="1">
      <c r="F4575" s="14"/>
    </row>
    <row r="4576" ht="22.5" customHeight="1">
      <c r="F4576" s="14"/>
    </row>
    <row r="4577" ht="22.5" customHeight="1">
      <c r="F4577" s="14"/>
    </row>
    <row r="4578" ht="22.5" customHeight="1">
      <c r="F4578" s="14"/>
    </row>
    <row r="4579" ht="22.5" customHeight="1">
      <c r="F4579" s="14"/>
    </row>
    <row r="4580" ht="22.5" customHeight="1">
      <c r="F4580" s="14"/>
    </row>
    <row r="4581" ht="22.5" customHeight="1">
      <c r="F4581" s="14"/>
    </row>
    <row r="4582" ht="22.5" customHeight="1">
      <c r="F4582" s="14"/>
    </row>
    <row r="4583" ht="22.5" customHeight="1">
      <c r="F4583" s="14"/>
    </row>
    <row r="4584" ht="22.5" customHeight="1">
      <c r="F4584" s="14"/>
    </row>
    <row r="4585" ht="22.5" customHeight="1">
      <c r="F4585" s="14"/>
    </row>
    <row r="4586" ht="22.5" customHeight="1">
      <c r="F4586" s="14"/>
    </row>
    <row r="4587" ht="22.5" customHeight="1">
      <c r="F4587" s="14"/>
    </row>
    <row r="4588" ht="22.5" customHeight="1">
      <c r="F4588" s="14"/>
    </row>
    <row r="4589" ht="22.5" customHeight="1">
      <c r="F4589" s="14"/>
    </row>
    <row r="4590" ht="22.5" customHeight="1">
      <c r="F4590" s="14"/>
    </row>
    <row r="4591" ht="22.5" customHeight="1">
      <c r="F4591" s="14"/>
    </row>
    <row r="4592" ht="22.5" customHeight="1">
      <c r="F4592" s="14"/>
    </row>
    <row r="4593" ht="22.5" customHeight="1">
      <c r="F4593" s="14"/>
    </row>
    <row r="4594" ht="22.5" customHeight="1">
      <c r="F4594" s="14"/>
    </row>
    <row r="4595" ht="22.5" customHeight="1">
      <c r="F4595" s="14"/>
    </row>
    <row r="4596" ht="22.5" customHeight="1">
      <c r="F4596" s="14"/>
    </row>
    <row r="4597" ht="22.5" customHeight="1">
      <c r="F4597" s="14"/>
    </row>
    <row r="4598" ht="22.5" customHeight="1">
      <c r="F4598" s="14"/>
    </row>
    <row r="4599" ht="22.5" customHeight="1">
      <c r="F4599" s="14"/>
    </row>
    <row r="4600" ht="22.5" customHeight="1">
      <c r="F4600" s="14"/>
    </row>
    <row r="4601" ht="22.5" customHeight="1">
      <c r="F4601" s="14"/>
    </row>
    <row r="4602" ht="22.5" customHeight="1">
      <c r="F4602" s="14"/>
    </row>
    <row r="4603" ht="22.5" customHeight="1">
      <c r="F4603" s="14"/>
    </row>
    <row r="4604" ht="22.5" customHeight="1">
      <c r="F4604" s="14"/>
    </row>
    <row r="4605" ht="22.5" customHeight="1">
      <c r="F4605" s="14"/>
    </row>
    <row r="4606" ht="22.5" customHeight="1">
      <c r="F4606" s="14"/>
    </row>
    <row r="4607" ht="22.5" customHeight="1">
      <c r="F4607" s="14"/>
    </row>
    <row r="4608" ht="22.5" customHeight="1">
      <c r="F4608" s="14"/>
    </row>
    <row r="4609" ht="22.5" customHeight="1">
      <c r="F4609" s="14"/>
    </row>
    <row r="4610" ht="22.5" customHeight="1">
      <c r="F4610" s="14"/>
    </row>
    <row r="4611" ht="22.5" customHeight="1">
      <c r="F4611" s="14"/>
    </row>
    <row r="4612" ht="22.5" customHeight="1">
      <c r="F4612" s="14"/>
    </row>
    <row r="4613" ht="22.5" customHeight="1">
      <c r="F4613" s="14"/>
    </row>
    <row r="4614" ht="22.5" customHeight="1">
      <c r="F4614" s="14"/>
    </row>
    <row r="4615" ht="22.5" customHeight="1">
      <c r="F4615" s="14"/>
    </row>
    <row r="4616" ht="22.5" customHeight="1">
      <c r="F4616" s="14"/>
    </row>
    <row r="4617" ht="22.5" customHeight="1">
      <c r="F4617" s="14"/>
    </row>
    <row r="4618" ht="22.5" customHeight="1">
      <c r="F4618" s="14"/>
    </row>
    <row r="4619" ht="22.5" customHeight="1">
      <c r="F4619" s="14"/>
    </row>
    <row r="4620" ht="22.5" customHeight="1">
      <c r="F4620" s="14"/>
    </row>
    <row r="4621" ht="22.5" customHeight="1">
      <c r="F4621" s="14"/>
    </row>
    <row r="4622" ht="22.5" customHeight="1">
      <c r="F4622" s="14"/>
    </row>
    <row r="4623" ht="22.5" customHeight="1">
      <c r="F4623" s="14"/>
    </row>
    <row r="4624" ht="22.5" customHeight="1">
      <c r="F4624" s="14"/>
    </row>
    <row r="4625" ht="22.5" customHeight="1">
      <c r="F4625" s="14"/>
    </row>
    <row r="4626" ht="22.5" customHeight="1">
      <c r="F4626" s="14"/>
    </row>
    <row r="4627" ht="22.5" customHeight="1">
      <c r="F4627" s="14"/>
    </row>
    <row r="4628" ht="22.5" customHeight="1">
      <c r="F4628" s="14"/>
    </row>
    <row r="4629" ht="22.5" customHeight="1">
      <c r="F4629" s="14"/>
    </row>
    <row r="4630" ht="22.5" customHeight="1">
      <c r="F4630" s="14"/>
    </row>
    <row r="4631" ht="22.5" customHeight="1">
      <c r="F4631" s="14"/>
    </row>
    <row r="4632" ht="22.5" customHeight="1">
      <c r="F4632" s="14"/>
    </row>
    <row r="4633" ht="22.5" customHeight="1">
      <c r="F4633" s="14"/>
    </row>
    <row r="4634" ht="22.5" customHeight="1">
      <c r="F4634" s="14"/>
    </row>
    <row r="4635" ht="22.5" customHeight="1">
      <c r="F4635" s="14"/>
    </row>
    <row r="4636" ht="22.5" customHeight="1">
      <c r="F4636" s="14"/>
    </row>
    <row r="4637" ht="22.5" customHeight="1">
      <c r="F4637" s="14"/>
    </row>
    <row r="4638" ht="22.5" customHeight="1">
      <c r="F4638" s="14"/>
    </row>
    <row r="4639" ht="22.5" customHeight="1">
      <c r="F4639" s="14"/>
    </row>
    <row r="4640" ht="22.5" customHeight="1">
      <c r="F4640" s="14"/>
    </row>
    <row r="4641" ht="22.5" customHeight="1">
      <c r="F4641" s="14"/>
    </row>
    <row r="4642" ht="22.5" customHeight="1">
      <c r="F4642" s="14"/>
    </row>
    <row r="4643" ht="22.5" customHeight="1">
      <c r="F4643" s="14"/>
    </row>
    <row r="4644" ht="22.5" customHeight="1">
      <c r="F4644" s="14"/>
    </row>
    <row r="4645" ht="22.5" customHeight="1">
      <c r="F4645" s="14"/>
    </row>
    <row r="4646" ht="22.5" customHeight="1">
      <c r="F4646" s="14"/>
    </row>
    <row r="4647" ht="22.5" customHeight="1">
      <c r="F4647" s="14"/>
    </row>
    <row r="4648" ht="22.5" customHeight="1">
      <c r="F4648" s="14"/>
    </row>
    <row r="4649" ht="22.5" customHeight="1">
      <c r="F4649" s="14"/>
    </row>
    <row r="4650" ht="22.5" customHeight="1">
      <c r="F4650" s="14"/>
    </row>
    <row r="4651" ht="22.5" customHeight="1">
      <c r="F4651" s="14"/>
    </row>
    <row r="4652" ht="22.5" customHeight="1">
      <c r="F4652" s="14"/>
    </row>
    <row r="4653" ht="22.5" customHeight="1">
      <c r="F4653" s="14"/>
    </row>
    <row r="4654" ht="22.5" customHeight="1">
      <c r="F4654" s="14"/>
    </row>
    <row r="4655" ht="22.5" customHeight="1">
      <c r="F4655" s="14"/>
    </row>
    <row r="4656" ht="22.5" customHeight="1">
      <c r="F4656" s="14"/>
    </row>
    <row r="4657" ht="22.5" customHeight="1">
      <c r="F4657" s="14"/>
    </row>
    <row r="4658" ht="22.5" customHeight="1">
      <c r="F4658" s="14"/>
    </row>
    <row r="4659" ht="22.5" customHeight="1">
      <c r="F4659" s="14"/>
    </row>
    <row r="4660" ht="22.5" customHeight="1">
      <c r="F4660" s="14"/>
    </row>
    <row r="4661" ht="22.5" customHeight="1">
      <c r="F4661" s="14"/>
    </row>
    <row r="4662" ht="22.5" customHeight="1">
      <c r="F4662" s="14"/>
    </row>
    <row r="4663" ht="22.5" customHeight="1">
      <c r="F4663" s="14"/>
    </row>
    <row r="4664" ht="22.5" customHeight="1">
      <c r="F4664" s="14"/>
    </row>
    <row r="4665" ht="22.5" customHeight="1">
      <c r="F4665" s="14"/>
    </row>
    <row r="4666" ht="22.5" customHeight="1">
      <c r="F4666" s="14"/>
    </row>
    <row r="4667" ht="22.5" customHeight="1">
      <c r="F4667" s="14"/>
    </row>
    <row r="4668" ht="22.5" customHeight="1">
      <c r="F4668" s="14"/>
    </row>
    <row r="4669" ht="22.5" customHeight="1">
      <c r="F4669" s="14"/>
    </row>
    <row r="4670" ht="22.5" customHeight="1">
      <c r="F4670" s="14"/>
    </row>
    <row r="4671" ht="22.5" customHeight="1">
      <c r="F4671" s="14"/>
    </row>
    <row r="4672" ht="22.5" customHeight="1">
      <c r="F4672" s="14"/>
    </row>
    <row r="4673" ht="22.5" customHeight="1">
      <c r="F4673" s="14"/>
    </row>
    <row r="4674" ht="22.5" customHeight="1">
      <c r="F4674" s="14"/>
    </row>
    <row r="4675" ht="22.5" customHeight="1">
      <c r="F4675" s="14"/>
    </row>
    <row r="4676" ht="22.5" customHeight="1">
      <c r="F4676" s="14"/>
    </row>
    <row r="4677" ht="22.5" customHeight="1">
      <c r="F4677" s="14"/>
    </row>
    <row r="4678" ht="22.5" customHeight="1">
      <c r="F4678" s="14"/>
    </row>
    <row r="4679" ht="22.5" customHeight="1">
      <c r="F4679" s="14"/>
    </row>
    <row r="4680" ht="22.5" customHeight="1">
      <c r="F4680" s="14"/>
    </row>
    <row r="4681" ht="22.5" customHeight="1">
      <c r="F4681" s="14"/>
    </row>
    <row r="4682" ht="22.5" customHeight="1">
      <c r="F4682" s="14"/>
    </row>
    <row r="4683" ht="22.5" customHeight="1">
      <c r="F4683" s="14"/>
    </row>
    <row r="4684" ht="22.5" customHeight="1">
      <c r="F4684" s="14"/>
    </row>
    <row r="4685" ht="22.5" customHeight="1">
      <c r="F4685" s="14"/>
    </row>
    <row r="4686" ht="22.5" customHeight="1">
      <c r="F4686" s="14"/>
    </row>
    <row r="4687" ht="22.5" customHeight="1">
      <c r="F4687" s="14"/>
    </row>
    <row r="4688" ht="22.5" customHeight="1">
      <c r="F4688" s="14"/>
    </row>
    <row r="4689" ht="22.5" customHeight="1">
      <c r="F4689" s="14"/>
    </row>
    <row r="4690" ht="22.5" customHeight="1">
      <c r="F4690" s="14"/>
    </row>
    <row r="4691" ht="22.5" customHeight="1">
      <c r="F4691" s="14"/>
    </row>
    <row r="4692" ht="22.5" customHeight="1">
      <c r="F4692" s="14"/>
    </row>
    <row r="4693" ht="22.5" customHeight="1">
      <c r="F4693" s="14"/>
    </row>
    <row r="4694" ht="22.5" customHeight="1">
      <c r="F4694" s="14"/>
    </row>
    <row r="4695" ht="22.5" customHeight="1">
      <c r="F4695" s="14"/>
    </row>
    <row r="4696" ht="22.5" customHeight="1">
      <c r="F4696" s="14"/>
    </row>
    <row r="4697" ht="22.5" customHeight="1">
      <c r="F4697" s="14"/>
    </row>
    <row r="4698" ht="22.5" customHeight="1">
      <c r="F4698" s="14"/>
    </row>
    <row r="4699" ht="22.5" customHeight="1">
      <c r="F4699" s="14"/>
    </row>
    <row r="4700" ht="22.5" customHeight="1">
      <c r="F4700" s="14"/>
    </row>
    <row r="4701" ht="22.5" customHeight="1">
      <c r="F4701" s="14"/>
    </row>
    <row r="4702" ht="22.5" customHeight="1">
      <c r="F4702" s="14"/>
    </row>
    <row r="4703" ht="22.5" customHeight="1">
      <c r="F4703" s="14"/>
    </row>
    <row r="4704" ht="22.5" customHeight="1">
      <c r="F4704" s="14"/>
    </row>
    <row r="4705" ht="22.5" customHeight="1">
      <c r="F4705" s="14"/>
    </row>
    <row r="4706" ht="22.5" customHeight="1">
      <c r="F4706" s="14"/>
    </row>
    <row r="4707" ht="22.5" customHeight="1">
      <c r="F4707" s="14"/>
    </row>
    <row r="4708" ht="22.5" customHeight="1">
      <c r="F4708" s="14"/>
    </row>
    <row r="4709" ht="22.5" customHeight="1">
      <c r="F4709" s="14"/>
    </row>
    <row r="4710" ht="22.5" customHeight="1">
      <c r="F4710" s="14"/>
    </row>
    <row r="4711" ht="22.5" customHeight="1">
      <c r="F4711" s="14"/>
    </row>
    <row r="4712" ht="22.5" customHeight="1">
      <c r="F4712" s="14"/>
    </row>
    <row r="4713" ht="22.5" customHeight="1">
      <c r="F4713" s="14"/>
    </row>
    <row r="4714" ht="22.5" customHeight="1">
      <c r="F4714" s="14"/>
    </row>
    <row r="4715" ht="22.5" customHeight="1">
      <c r="F4715" s="14"/>
    </row>
    <row r="4716" ht="22.5" customHeight="1">
      <c r="F4716" s="14"/>
    </row>
    <row r="4717" ht="22.5" customHeight="1">
      <c r="F4717" s="14"/>
    </row>
    <row r="4718" ht="22.5" customHeight="1">
      <c r="F4718" s="14"/>
    </row>
    <row r="4719" ht="22.5" customHeight="1">
      <c r="F4719" s="14"/>
    </row>
    <row r="4720" ht="22.5" customHeight="1">
      <c r="F4720" s="14"/>
    </row>
    <row r="4721" ht="22.5" customHeight="1">
      <c r="F4721" s="14"/>
    </row>
    <row r="4722" ht="22.5" customHeight="1">
      <c r="F4722" s="14"/>
    </row>
    <row r="4723" ht="22.5" customHeight="1">
      <c r="F4723" s="14"/>
    </row>
    <row r="4724" ht="22.5" customHeight="1">
      <c r="F4724" s="14"/>
    </row>
    <row r="4725" ht="22.5" customHeight="1">
      <c r="F4725" s="14"/>
    </row>
    <row r="4726" ht="22.5" customHeight="1">
      <c r="F4726" s="14"/>
    </row>
    <row r="4727" ht="22.5" customHeight="1">
      <c r="F4727" s="14"/>
    </row>
    <row r="4728" ht="22.5" customHeight="1">
      <c r="F4728" s="14"/>
    </row>
    <row r="4729" ht="22.5" customHeight="1">
      <c r="F4729" s="14"/>
    </row>
    <row r="4730" ht="22.5" customHeight="1">
      <c r="F4730" s="14"/>
    </row>
    <row r="4731" ht="22.5" customHeight="1">
      <c r="F4731" s="14"/>
    </row>
    <row r="4732" ht="22.5" customHeight="1">
      <c r="F4732" s="14"/>
    </row>
    <row r="4733" ht="22.5" customHeight="1">
      <c r="F4733" s="14"/>
    </row>
    <row r="4734" ht="22.5" customHeight="1">
      <c r="F4734" s="14"/>
    </row>
    <row r="4735" ht="22.5" customHeight="1">
      <c r="F4735" s="14"/>
    </row>
    <row r="4736" ht="22.5" customHeight="1">
      <c r="F4736" s="14"/>
    </row>
    <row r="4737" ht="22.5" customHeight="1">
      <c r="F4737" s="14"/>
    </row>
    <row r="4738" ht="22.5" customHeight="1">
      <c r="F4738" s="14"/>
    </row>
    <row r="4739" ht="22.5" customHeight="1">
      <c r="F4739" s="14"/>
    </row>
    <row r="4740" ht="22.5" customHeight="1">
      <c r="F4740" s="14"/>
    </row>
    <row r="4741" ht="22.5" customHeight="1">
      <c r="F4741" s="14"/>
    </row>
    <row r="4742" ht="22.5" customHeight="1">
      <c r="F4742" s="14"/>
    </row>
    <row r="4743" ht="22.5" customHeight="1">
      <c r="F4743" s="14"/>
    </row>
    <row r="4744" ht="22.5" customHeight="1">
      <c r="F4744" s="14"/>
    </row>
    <row r="4745" ht="22.5" customHeight="1">
      <c r="F4745" s="14"/>
    </row>
    <row r="4746" ht="22.5" customHeight="1">
      <c r="F4746" s="14"/>
    </row>
    <row r="4747" ht="22.5" customHeight="1">
      <c r="F4747" s="14"/>
    </row>
    <row r="4748" ht="22.5" customHeight="1">
      <c r="F4748" s="14"/>
    </row>
    <row r="4749" ht="22.5" customHeight="1">
      <c r="F4749" s="14"/>
    </row>
    <row r="4750" ht="22.5" customHeight="1">
      <c r="F4750" s="14"/>
    </row>
    <row r="4751" ht="22.5" customHeight="1">
      <c r="F4751" s="14"/>
    </row>
    <row r="4752" ht="22.5" customHeight="1">
      <c r="F4752" s="14"/>
    </row>
    <row r="4753" ht="22.5" customHeight="1">
      <c r="F4753" s="14"/>
    </row>
    <row r="4754" ht="22.5" customHeight="1">
      <c r="F4754" s="14"/>
    </row>
    <row r="4755" ht="22.5" customHeight="1">
      <c r="F4755" s="14"/>
    </row>
    <row r="4756" ht="22.5" customHeight="1">
      <c r="F4756" s="14"/>
    </row>
    <row r="4757" ht="22.5" customHeight="1">
      <c r="F4757" s="14"/>
    </row>
    <row r="4758" ht="22.5" customHeight="1">
      <c r="F4758" s="14"/>
    </row>
    <row r="4759" ht="22.5" customHeight="1">
      <c r="F4759" s="14"/>
    </row>
    <row r="4760" ht="22.5" customHeight="1">
      <c r="F4760" s="14"/>
    </row>
    <row r="4761" ht="22.5" customHeight="1">
      <c r="F4761" s="14"/>
    </row>
    <row r="4762" ht="22.5" customHeight="1">
      <c r="F4762" s="14"/>
    </row>
    <row r="4763" ht="22.5" customHeight="1">
      <c r="F4763" s="14"/>
    </row>
    <row r="4764" ht="22.5" customHeight="1">
      <c r="F4764" s="14"/>
    </row>
    <row r="4765" ht="22.5" customHeight="1">
      <c r="F4765" s="14"/>
    </row>
    <row r="4766" ht="22.5" customHeight="1">
      <c r="F4766" s="14"/>
    </row>
    <row r="4767" ht="22.5" customHeight="1">
      <c r="F4767" s="14"/>
    </row>
    <row r="4768" ht="22.5" customHeight="1">
      <c r="F4768" s="14"/>
    </row>
    <row r="4769" ht="22.5" customHeight="1">
      <c r="F4769" s="14"/>
    </row>
    <row r="4770" ht="22.5" customHeight="1">
      <c r="F4770" s="14"/>
    </row>
    <row r="4771" ht="22.5" customHeight="1">
      <c r="F4771" s="14"/>
    </row>
    <row r="4772" ht="22.5" customHeight="1">
      <c r="F4772" s="14"/>
    </row>
    <row r="4773" ht="22.5" customHeight="1">
      <c r="F4773" s="14"/>
    </row>
    <row r="4774" ht="22.5" customHeight="1">
      <c r="F4774" s="14"/>
    </row>
    <row r="4775" ht="22.5" customHeight="1">
      <c r="F4775" s="14"/>
    </row>
    <row r="4776" ht="22.5" customHeight="1">
      <c r="F4776" s="14"/>
    </row>
    <row r="4777" ht="22.5" customHeight="1">
      <c r="F4777" s="14"/>
    </row>
    <row r="4778" ht="22.5" customHeight="1">
      <c r="F4778" s="14"/>
    </row>
    <row r="4779" ht="22.5" customHeight="1">
      <c r="F4779" s="14"/>
    </row>
    <row r="4780" ht="22.5" customHeight="1">
      <c r="F4780" s="14"/>
    </row>
    <row r="4781" ht="22.5" customHeight="1">
      <c r="F4781" s="14"/>
    </row>
    <row r="4782" ht="22.5" customHeight="1">
      <c r="F4782" s="14"/>
    </row>
    <row r="4783" ht="22.5" customHeight="1">
      <c r="F4783" s="14"/>
    </row>
    <row r="4784" ht="22.5" customHeight="1">
      <c r="F4784" s="14"/>
    </row>
    <row r="4785" ht="22.5" customHeight="1">
      <c r="F4785" s="14"/>
    </row>
    <row r="4786" ht="22.5" customHeight="1">
      <c r="F4786" s="14"/>
    </row>
    <row r="4787" ht="22.5" customHeight="1">
      <c r="F4787" s="14"/>
    </row>
    <row r="4788" ht="22.5" customHeight="1">
      <c r="F4788" s="14"/>
    </row>
    <row r="4789" ht="22.5" customHeight="1">
      <c r="F4789" s="14"/>
    </row>
    <row r="4790" ht="22.5" customHeight="1">
      <c r="F4790" s="14"/>
    </row>
    <row r="4791" ht="22.5" customHeight="1">
      <c r="F4791" s="14"/>
    </row>
    <row r="4792" ht="22.5" customHeight="1">
      <c r="F4792" s="14"/>
    </row>
    <row r="4793" ht="22.5" customHeight="1">
      <c r="F4793" s="14"/>
    </row>
    <row r="4794" ht="22.5" customHeight="1">
      <c r="F4794" s="14"/>
    </row>
    <row r="4795" ht="22.5" customHeight="1">
      <c r="F4795" s="14"/>
    </row>
    <row r="4796" ht="22.5" customHeight="1">
      <c r="F4796" s="14"/>
    </row>
    <row r="4797" ht="22.5" customHeight="1">
      <c r="F4797" s="14"/>
    </row>
    <row r="4798" ht="22.5" customHeight="1">
      <c r="F4798" s="14"/>
    </row>
    <row r="4799" ht="22.5" customHeight="1">
      <c r="F4799" s="14"/>
    </row>
    <row r="4800" ht="22.5" customHeight="1">
      <c r="F4800" s="14"/>
    </row>
    <row r="4801" ht="22.5" customHeight="1">
      <c r="F4801" s="14"/>
    </row>
    <row r="4802" ht="22.5" customHeight="1">
      <c r="F4802" s="14"/>
    </row>
    <row r="4803" ht="22.5" customHeight="1">
      <c r="F4803" s="14"/>
    </row>
    <row r="4804" ht="22.5" customHeight="1">
      <c r="F4804" s="14"/>
    </row>
    <row r="4805" ht="22.5" customHeight="1">
      <c r="F4805" s="14"/>
    </row>
    <row r="4806" ht="22.5" customHeight="1">
      <c r="F4806" s="14"/>
    </row>
    <row r="4807" ht="22.5" customHeight="1">
      <c r="F4807" s="14"/>
    </row>
    <row r="4808" ht="22.5" customHeight="1">
      <c r="F4808" s="14"/>
    </row>
    <row r="4809" ht="22.5" customHeight="1">
      <c r="F4809" s="14"/>
    </row>
    <row r="4810" ht="22.5" customHeight="1">
      <c r="F4810" s="14"/>
    </row>
    <row r="4811" ht="22.5" customHeight="1">
      <c r="F4811" s="14"/>
    </row>
    <row r="4812" ht="22.5" customHeight="1">
      <c r="F4812" s="14"/>
    </row>
    <row r="4813" ht="22.5" customHeight="1">
      <c r="F4813" s="14"/>
    </row>
    <row r="4814" ht="22.5" customHeight="1">
      <c r="F4814" s="14"/>
    </row>
    <row r="4815" ht="22.5" customHeight="1">
      <c r="F4815" s="14"/>
    </row>
    <row r="4816" ht="22.5" customHeight="1">
      <c r="F4816" s="14"/>
    </row>
    <row r="4817" ht="22.5" customHeight="1">
      <c r="F4817" s="14"/>
    </row>
    <row r="4818" ht="22.5" customHeight="1">
      <c r="F4818" s="14"/>
    </row>
    <row r="4819" ht="22.5" customHeight="1">
      <c r="F4819" s="14"/>
    </row>
    <row r="4820" ht="22.5" customHeight="1">
      <c r="F4820" s="14"/>
    </row>
    <row r="4821" ht="22.5" customHeight="1">
      <c r="F4821" s="14"/>
    </row>
    <row r="4822" ht="22.5" customHeight="1">
      <c r="F4822" s="14"/>
    </row>
    <row r="4823" ht="22.5" customHeight="1">
      <c r="F4823" s="14"/>
    </row>
    <row r="4824" ht="22.5" customHeight="1">
      <c r="F4824" s="14"/>
    </row>
    <row r="4825" ht="22.5" customHeight="1">
      <c r="F4825" s="14"/>
    </row>
    <row r="4826" ht="22.5" customHeight="1">
      <c r="F4826" s="14"/>
    </row>
    <row r="4827" ht="22.5" customHeight="1">
      <c r="F4827" s="14"/>
    </row>
    <row r="4828" ht="22.5" customHeight="1">
      <c r="F4828" s="14"/>
    </row>
    <row r="4829" ht="22.5" customHeight="1">
      <c r="F4829" s="14"/>
    </row>
    <row r="4830" ht="22.5" customHeight="1">
      <c r="F4830" s="14"/>
    </row>
    <row r="4831" ht="22.5" customHeight="1">
      <c r="F4831" s="14"/>
    </row>
    <row r="4832" ht="22.5" customHeight="1">
      <c r="F4832" s="14"/>
    </row>
    <row r="4833" ht="22.5" customHeight="1">
      <c r="F4833" s="14"/>
    </row>
    <row r="4834" ht="22.5" customHeight="1">
      <c r="F4834" s="14"/>
    </row>
    <row r="4835" ht="22.5" customHeight="1">
      <c r="F4835" s="14"/>
    </row>
    <row r="4836" ht="22.5" customHeight="1">
      <c r="F4836" s="14"/>
    </row>
    <row r="4837" ht="22.5" customHeight="1">
      <c r="F4837" s="14"/>
    </row>
    <row r="4838" ht="22.5" customHeight="1">
      <c r="F4838" s="14"/>
    </row>
    <row r="4839" ht="22.5" customHeight="1">
      <c r="F4839" s="14"/>
    </row>
    <row r="4840" ht="22.5" customHeight="1">
      <c r="F4840" s="14"/>
    </row>
    <row r="4841" ht="22.5" customHeight="1">
      <c r="F4841" s="14"/>
    </row>
    <row r="4842" ht="22.5" customHeight="1">
      <c r="F4842" s="14"/>
    </row>
    <row r="4843" ht="22.5" customHeight="1">
      <c r="F4843" s="14"/>
    </row>
    <row r="4844" ht="22.5" customHeight="1">
      <c r="F4844" s="14"/>
    </row>
    <row r="4845" ht="22.5" customHeight="1">
      <c r="F4845" s="14"/>
    </row>
    <row r="4846" ht="22.5" customHeight="1">
      <c r="F4846" s="14"/>
    </row>
    <row r="4847" ht="22.5" customHeight="1">
      <c r="F4847" s="14"/>
    </row>
    <row r="4848" ht="22.5" customHeight="1">
      <c r="F4848" s="14"/>
    </row>
    <row r="4849" ht="22.5" customHeight="1">
      <c r="F4849" s="14"/>
    </row>
    <row r="4850" ht="22.5" customHeight="1">
      <c r="F4850" s="14"/>
    </row>
    <row r="4851" ht="22.5" customHeight="1">
      <c r="F4851" s="14"/>
    </row>
    <row r="4852" ht="22.5" customHeight="1">
      <c r="F4852" s="14"/>
    </row>
    <row r="4853" ht="22.5" customHeight="1">
      <c r="F4853" s="14"/>
    </row>
    <row r="4854" ht="22.5" customHeight="1">
      <c r="F4854" s="14"/>
    </row>
    <row r="4855" ht="22.5" customHeight="1">
      <c r="F4855" s="14"/>
    </row>
    <row r="4856" ht="22.5" customHeight="1">
      <c r="F4856" s="14"/>
    </row>
    <row r="4857" ht="22.5" customHeight="1">
      <c r="F4857" s="14"/>
    </row>
    <row r="4858" ht="22.5" customHeight="1">
      <c r="F4858" s="14"/>
    </row>
    <row r="4859" ht="22.5" customHeight="1">
      <c r="F4859" s="14"/>
    </row>
    <row r="4860" ht="22.5" customHeight="1">
      <c r="F4860" s="14"/>
    </row>
    <row r="4861" ht="22.5" customHeight="1">
      <c r="F4861" s="14"/>
    </row>
    <row r="4862" ht="22.5" customHeight="1">
      <c r="F4862" s="14"/>
    </row>
    <row r="4863" ht="22.5" customHeight="1">
      <c r="F4863" s="14"/>
    </row>
    <row r="4864" ht="22.5" customHeight="1">
      <c r="F4864" s="14"/>
    </row>
    <row r="4865" ht="22.5" customHeight="1">
      <c r="F4865" s="14"/>
    </row>
    <row r="4866" ht="22.5" customHeight="1">
      <c r="F4866" s="14"/>
    </row>
    <row r="4867" ht="22.5" customHeight="1">
      <c r="F4867" s="14"/>
    </row>
    <row r="4868" ht="22.5" customHeight="1">
      <c r="F4868" s="14"/>
    </row>
    <row r="4869" ht="22.5" customHeight="1">
      <c r="F4869" s="14"/>
    </row>
    <row r="4870" ht="22.5" customHeight="1">
      <c r="F4870" s="14"/>
    </row>
    <row r="4871" ht="22.5" customHeight="1">
      <c r="F4871" s="14"/>
    </row>
    <row r="4872" ht="22.5" customHeight="1">
      <c r="F4872" s="14"/>
    </row>
    <row r="4873" ht="22.5" customHeight="1">
      <c r="F4873" s="14"/>
    </row>
    <row r="4874" ht="22.5" customHeight="1">
      <c r="F4874" s="14"/>
    </row>
    <row r="4875" ht="22.5" customHeight="1">
      <c r="F4875" s="14"/>
    </row>
    <row r="4876" ht="22.5" customHeight="1">
      <c r="F4876" s="14"/>
    </row>
    <row r="4877" ht="22.5" customHeight="1">
      <c r="F4877" s="14"/>
    </row>
    <row r="4878" ht="22.5" customHeight="1">
      <c r="F4878" s="14"/>
    </row>
    <row r="4879" ht="22.5" customHeight="1">
      <c r="F4879" s="14"/>
    </row>
    <row r="4880" ht="22.5" customHeight="1">
      <c r="F4880" s="14"/>
    </row>
    <row r="4881" ht="22.5" customHeight="1">
      <c r="F4881" s="14"/>
    </row>
    <row r="4882" ht="22.5" customHeight="1">
      <c r="F4882" s="14"/>
    </row>
    <row r="4883" ht="22.5" customHeight="1">
      <c r="F4883" s="14"/>
    </row>
    <row r="4884" ht="22.5" customHeight="1">
      <c r="F4884" s="14"/>
    </row>
    <row r="4885" ht="22.5" customHeight="1">
      <c r="F4885" s="14"/>
    </row>
    <row r="4886" ht="22.5" customHeight="1">
      <c r="F4886" s="14"/>
    </row>
    <row r="4887" ht="22.5" customHeight="1">
      <c r="F4887" s="14"/>
    </row>
    <row r="4888" ht="22.5" customHeight="1">
      <c r="F4888" s="14"/>
    </row>
    <row r="4889" ht="22.5" customHeight="1">
      <c r="F4889" s="14"/>
    </row>
    <row r="4890" ht="22.5" customHeight="1">
      <c r="F4890" s="14"/>
    </row>
    <row r="4891" ht="22.5" customHeight="1">
      <c r="F4891" s="14"/>
    </row>
    <row r="4892" ht="22.5" customHeight="1">
      <c r="F4892" s="14"/>
    </row>
    <row r="4893" ht="22.5" customHeight="1">
      <c r="F4893" s="14"/>
    </row>
    <row r="4894" ht="22.5" customHeight="1">
      <c r="F4894" s="14"/>
    </row>
    <row r="4895" ht="22.5" customHeight="1">
      <c r="F4895" s="14"/>
    </row>
    <row r="4896" ht="22.5" customHeight="1">
      <c r="F4896" s="14"/>
    </row>
    <row r="4897" ht="22.5" customHeight="1">
      <c r="F4897" s="14"/>
    </row>
    <row r="4898" ht="22.5" customHeight="1">
      <c r="F4898" s="14"/>
    </row>
    <row r="4899" ht="22.5" customHeight="1">
      <c r="F4899" s="14"/>
    </row>
    <row r="4900" ht="22.5" customHeight="1">
      <c r="F4900" s="14"/>
    </row>
    <row r="4901" ht="22.5" customHeight="1">
      <c r="F4901" s="14"/>
    </row>
    <row r="4902" ht="22.5" customHeight="1">
      <c r="F4902" s="14"/>
    </row>
    <row r="4903" ht="22.5" customHeight="1">
      <c r="F4903" s="14"/>
    </row>
    <row r="4904" ht="22.5" customHeight="1">
      <c r="F4904" s="14"/>
    </row>
    <row r="4905" ht="22.5" customHeight="1">
      <c r="F4905" s="14"/>
    </row>
    <row r="4906" ht="22.5" customHeight="1">
      <c r="F4906" s="14"/>
    </row>
    <row r="4907" ht="22.5" customHeight="1">
      <c r="F4907" s="14"/>
    </row>
    <row r="4908" ht="22.5" customHeight="1">
      <c r="F4908" s="14"/>
    </row>
    <row r="4909" ht="22.5" customHeight="1">
      <c r="F4909" s="14"/>
    </row>
    <row r="4910" ht="22.5" customHeight="1">
      <c r="F4910" s="14"/>
    </row>
    <row r="4911" ht="22.5" customHeight="1">
      <c r="F4911" s="14"/>
    </row>
    <row r="4912" ht="22.5" customHeight="1">
      <c r="F4912" s="14"/>
    </row>
    <row r="4913" ht="22.5" customHeight="1">
      <c r="F4913" s="14"/>
    </row>
    <row r="4914" ht="22.5" customHeight="1">
      <c r="F4914" s="14"/>
    </row>
    <row r="4915" ht="22.5" customHeight="1">
      <c r="F4915" s="14"/>
    </row>
    <row r="4916" ht="22.5" customHeight="1">
      <c r="F4916" s="14"/>
    </row>
    <row r="4917" ht="22.5" customHeight="1">
      <c r="F4917" s="14"/>
    </row>
    <row r="4918" ht="22.5" customHeight="1">
      <c r="F4918" s="14"/>
    </row>
    <row r="4919" ht="22.5" customHeight="1">
      <c r="F4919" s="14"/>
    </row>
    <row r="4920" ht="22.5" customHeight="1">
      <c r="F4920" s="14"/>
    </row>
    <row r="4921" ht="22.5" customHeight="1">
      <c r="F4921" s="14"/>
    </row>
    <row r="4922" ht="22.5" customHeight="1">
      <c r="F4922" s="14"/>
    </row>
    <row r="4923" ht="22.5" customHeight="1">
      <c r="F4923" s="14"/>
    </row>
    <row r="4924" ht="22.5" customHeight="1">
      <c r="F4924" s="14"/>
    </row>
    <row r="4925" ht="22.5" customHeight="1">
      <c r="F4925" s="14"/>
    </row>
    <row r="4926" ht="22.5" customHeight="1">
      <c r="F4926" s="14"/>
    </row>
    <row r="4927" ht="22.5" customHeight="1">
      <c r="F4927" s="14"/>
    </row>
    <row r="4928" ht="22.5" customHeight="1">
      <c r="F4928" s="14"/>
    </row>
    <row r="4929" ht="22.5" customHeight="1">
      <c r="F4929" s="14"/>
    </row>
    <row r="4930" ht="22.5" customHeight="1">
      <c r="F4930" s="14"/>
    </row>
    <row r="4931" ht="22.5" customHeight="1">
      <c r="F4931" s="14"/>
    </row>
    <row r="4932" ht="22.5" customHeight="1">
      <c r="F4932" s="14"/>
    </row>
    <row r="4933" ht="22.5" customHeight="1">
      <c r="F4933" s="14"/>
    </row>
    <row r="4934" ht="22.5" customHeight="1">
      <c r="F4934" s="14"/>
    </row>
    <row r="4935" ht="22.5" customHeight="1">
      <c r="F4935" s="14"/>
    </row>
    <row r="4936" ht="22.5" customHeight="1">
      <c r="F4936" s="14"/>
    </row>
    <row r="4937" ht="22.5" customHeight="1">
      <c r="F4937" s="14"/>
    </row>
    <row r="4938" ht="22.5" customHeight="1">
      <c r="F4938" s="14"/>
    </row>
    <row r="4939" ht="22.5" customHeight="1">
      <c r="F4939" s="14"/>
    </row>
    <row r="4940" ht="22.5" customHeight="1">
      <c r="F4940" s="14"/>
    </row>
    <row r="4941" ht="22.5" customHeight="1">
      <c r="F4941" s="14"/>
    </row>
    <row r="4942" ht="22.5" customHeight="1">
      <c r="F4942" s="14"/>
    </row>
    <row r="4943" ht="22.5" customHeight="1">
      <c r="F4943" s="14"/>
    </row>
    <row r="4944" ht="22.5" customHeight="1">
      <c r="F4944" s="14"/>
    </row>
    <row r="4945" ht="22.5" customHeight="1">
      <c r="F4945" s="14"/>
    </row>
    <row r="4946" ht="22.5" customHeight="1">
      <c r="F4946" s="14"/>
    </row>
    <row r="4947" ht="22.5" customHeight="1">
      <c r="F4947" s="14"/>
    </row>
    <row r="4948" ht="22.5" customHeight="1">
      <c r="F4948" s="14"/>
    </row>
    <row r="4949" ht="22.5" customHeight="1">
      <c r="F4949" s="14"/>
    </row>
    <row r="4950" ht="22.5" customHeight="1">
      <c r="F4950" s="14"/>
    </row>
    <row r="4951" ht="22.5" customHeight="1">
      <c r="F4951" s="14"/>
    </row>
    <row r="4952" ht="22.5" customHeight="1">
      <c r="F4952" s="14"/>
    </row>
    <row r="4953" ht="22.5" customHeight="1">
      <c r="F4953" s="14"/>
    </row>
    <row r="4954" ht="22.5" customHeight="1">
      <c r="F4954" s="14"/>
    </row>
    <row r="4955" ht="22.5" customHeight="1">
      <c r="F4955" s="14"/>
    </row>
    <row r="4956" ht="22.5" customHeight="1">
      <c r="F4956" s="14"/>
    </row>
    <row r="4957" ht="22.5" customHeight="1">
      <c r="F4957" s="14"/>
    </row>
    <row r="4958" ht="22.5" customHeight="1">
      <c r="F4958" s="14"/>
    </row>
    <row r="4959" ht="22.5" customHeight="1">
      <c r="F4959" s="14"/>
    </row>
    <row r="4960" ht="22.5" customHeight="1">
      <c r="F4960" s="14"/>
    </row>
    <row r="4961" ht="22.5" customHeight="1">
      <c r="F4961" s="14"/>
    </row>
    <row r="4962" ht="22.5" customHeight="1">
      <c r="F4962" s="14"/>
    </row>
    <row r="4963" ht="22.5" customHeight="1">
      <c r="F4963" s="14"/>
    </row>
    <row r="4964" ht="22.5" customHeight="1">
      <c r="F4964" s="14"/>
    </row>
    <row r="4965" ht="22.5" customHeight="1">
      <c r="F4965" s="14"/>
    </row>
    <row r="4966" ht="22.5" customHeight="1">
      <c r="F4966" s="14"/>
    </row>
    <row r="4967" ht="22.5" customHeight="1">
      <c r="F4967" s="14"/>
    </row>
    <row r="4968" ht="22.5" customHeight="1">
      <c r="F4968" s="14"/>
    </row>
    <row r="4969" ht="22.5" customHeight="1">
      <c r="F4969" s="14"/>
    </row>
    <row r="4970" ht="22.5" customHeight="1">
      <c r="F4970" s="14"/>
    </row>
    <row r="4971" ht="22.5" customHeight="1">
      <c r="F4971" s="14"/>
    </row>
    <row r="4972" ht="22.5" customHeight="1">
      <c r="F4972" s="14"/>
    </row>
    <row r="4973" ht="22.5" customHeight="1">
      <c r="F4973" s="14"/>
    </row>
    <row r="4974" ht="22.5" customHeight="1">
      <c r="F4974" s="14"/>
    </row>
    <row r="4975" ht="22.5" customHeight="1">
      <c r="F4975" s="14"/>
    </row>
    <row r="4976" ht="22.5" customHeight="1">
      <c r="F4976" s="14"/>
    </row>
    <row r="4977" ht="22.5" customHeight="1">
      <c r="F4977" s="14"/>
    </row>
    <row r="4978" ht="22.5" customHeight="1">
      <c r="F4978" s="14"/>
    </row>
    <row r="4979" ht="22.5" customHeight="1">
      <c r="F4979" s="14"/>
    </row>
    <row r="4980" ht="22.5" customHeight="1">
      <c r="F4980" s="14"/>
    </row>
    <row r="4981" ht="22.5" customHeight="1">
      <c r="F4981" s="14"/>
    </row>
    <row r="4982" ht="22.5" customHeight="1">
      <c r="F4982" s="14"/>
    </row>
    <row r="4983" ht="22.5" customHeight="1">
      <c r="F4983" s="14"/>
    </row>
    <row r="4984" ht="22.5" customHeight="1">
      <c r="F4984" s="14"/>
    </row>
    <row r="4985" ht="22.5" customHeight="1">
      <c r="F4985" s="14"/>
    </row>
    <row r="4986" ht="22.5" customHeight="1">
      <c r="F4986" s="14"/>
    </row>
    <row r="4987" ht="22.5" customHeight="1">
      <c r="F4987" s="14"/>
    </row>
    <row r="4988" ht="22.5" customHeight="1">
      <c r="F4988" s="14"/>
    </row>
    <row r="4989" ht="22.5" customHeight="1">
      <c r="F4989" s="14"/>
    </row>
    <row r="4990" ht="22.5" customHeight="1">
      <c r="F4990" s="14"/>
    </row>
    <row r="4991" ht="22.5" customHeight="1">
      <c r="F4991" s="14"/>
    </row>
    <row r="4992" ht="22.5" customHeight="1">
      <c r="F4992" s="14"/>
    </row>
    <row r="4993" ht="22.5" customHeight="1">
      <c r="F4993" s="14"/>
    </row>
    <row r="4994" ht="22.5" customHeight="1">
      <c r="F4994" s="14"/>
    </row>
    <row r="4995" ht="22.5" customHeight="1">
      <c r="F4995" s="14"/>
    </row>
    <row r="4996" ht="22.5" customHeight="1">
      <c r="F4996" s="14"/>
    </row>
    <row r="4997" ht="22.5" customHeight="1">
      <c r="F4997" s="14"/>
    </row>
    <row r="4998" ht="22.5" customHeight="1">
      <c r="F4998" s="14"/>
    </row>
    <row r="4999" ht="22.5" customHeight="1">
      <c r="F4999" s="14"/>
    </row>
    <row r="5000" ht="22.5" customHeight="1">
      <c r="F5000" s="14"/>
    </row>
    <row r="5001" ht="22.5" customHeight="1">
      <c r="F5001" s="14"/>
    </row>
    <row r="5002" ht="22.5" customHeight="1">
      <c r="F5002" s="14"/>
    </row>
    <row r="5003" ht="22.5" customHeight="1">
      <c r="F5003" s="14"/>
    </row>
    <row r="5004" ht="22.5" customHeight="1">
      <c r="F5004" s="14"/>
    </row>
    <row r="5005" ht="22.5" customHeight="1">
      <c r="F5005" s="14"/>
    </row>
    <row r="5006" ht="22.5" customHeight="1">
      <c r="F5006" s="14"/>
    </row>
    <row r="5007" ht="22.5" customHeight="1">
      <c r="F5007" s="14"/>
    </row>
    <row r="5008" ht="22.5" customHeight="1">
      <c r="F5008" s="14"/>
    </row>
    <row r="5009" ht="22.5" customHeight="1">
      <c r="F5009" s="14"/>
    </row>
    <row r="5010" ht="22.5" customHeight="1">
      <c r="F5010" s="14"/>
    </row>
    <row r="5011" ht="22.5" customHeight="1">
      <c r="F5011" s="14"/>
    </row>
    <row r="5012" ht="22.5" customHeight="1">
      <c r="F5012" s="14"/>
    </row>
    <row r="5013" ht="22.5" customHeight="1">
      <c r="F5013" s="14"/>
    </row>
    <row r="5014" ht="22.5" customHeight="1">
      <c r="F5014" s="14"/>
    </row>
    <row r="5015" ht="22.5" customHeight="1">
      <c r="F5015" s="14"/>
    </row>
    <row r="5016" ht="22.5" customHeight="1">
      <c r="F5016" s="14"/>
    </row>
    <row r="5017" ht="22.5" customHeight="1">
      <c r="F5017" s="14"/>
    </row>
    <row r="5018" ht="22.5" customHeight="1">
      <c r="F5018" s="14"/>
    </row>
    <row r="5019" ht="22.5" customHeight="1">
      <c r="F5019" s="14"/>
    </row>
    <row r="5020" ht="22.5" customHeight="1">
      <c r="F5020" s="14"/>
    </row>
    <row r="5021" ht="22.5" customHeight="1">
      <c r="F5021" s="14"/>
    </row>
    <row r="5022" ht="22.5" customHeight="1">
      <c r="F5022" s="14"/>
    </row>
    <row r="5023" ht="22.5" customHeight="1">
      <c r="F5023" s="14"/>
    </row>
    <row r="5024" ht="22.5" customHeight="1">
      <c r="F5024" s="14"/>
    </row>
    <row r="5025" ht="22.5" customHeight="1">
      <c r="F5025" s="14"/>
    </row>
    <row r="5026" ht="22.5" customHeight="1">
      <c r="F5026" s="14"/>
    </row>
    <row r="5027" ht="22.5" customHeight="1">
      <c r="F5027" s="14"/>
    </row>
    <row r="5028" ht="22.5" customHeight="1">
      <c r="F5028" s="14"/>
    </row>
    <row r="5029" ht="22.5" customHeight="1">
      <c r="F5029" s="14"/>
    </row>
    <row r="5030" ht="22.5" customHeight="1">
      <c r="F5030" s="14"/>
    </row>
    <row r="5031" ht="22.5" customHeight="1">
      <c r="F5031" s="14"/>
    </row>
    <row r="5032" ht="22.5" customHeight="1">
      <c r="F5032" s="14"/>
    </row>
    <row r="5033" ht="22.5" customHeight="1">
      <c r="F5033" s="14"/>
    </row>
    <row r="5034" ht="22.5" customHeight="1">
      <c r="F5034" s="14"/>
    </row>
    <row r="5035" ht="22.5" customHeight="1">
      <c r="F5035" s="14"/>
    </row>
    <row r="5036" ht="22.5" customHeight="1">
      <c r="F5036" s="14"/>
    </row>
    <row r="5037" ht="22.5" customHeight="1">
      <c r="F5037" s="14"/>
    </row>
    <row r="5038" ht="22.5" customHeight="1">
      <c r="F5038" s="14"/>
    </row>
    <row r="5039" ht="22.5" customHeight="1">
      <c r="F5039" s="14"/>
    </row>
    <row r="5040" ht="22.5" customHeight="1">
      <c r="F5040" s="14"/>
    </row>
    <row r="5041" ht="22.5" customHeight="1">
      <c r="F5041" s="14"/>
    </row>
    <row r="5042" ht="22.5" customHeight="1">
      <c r="F5042" s="14"/>
    </row>
    <row r="5043" ht="22.5" customHeight="1">
      <c r="F5043" s="14"/>
    </row>
    <row r="5044" ht="22.5" customHeight="1">
      <c r="F5044" s="14"/>
    </row>
    <row r="5045" ht="22.5" customHeight="1">
      <c r="F5045" s="14"/>
    </row>
    <row r="5046" ht="22.5" customHeight="1">
      <c r="F5046" s="14"/>
    </row>
    <row r="5047" ht="22.5" customHeight="1">
      <c r="F5047" s="14"/>
    </row>
    <row r="5048" ht="22.5" customHeight="1">
      <c r="F5048" s="14"/>
    </row>
    <row r="5049" ht="22.5" customHeight="1">
      <c r="F5049" s="14"/>
    </row>
    <row r="5050" ht="22.5" customHeight="1">
      <c r="F5050" s="14"/>
    </row>
    <row r="5051" ht="22.5" customHeight="1">
      <c r="F5051" s="14"/>
    </row>
    <row r="5052" ht="22.5" customHeight="1">
      <c r="F5052" s="14"/>
    </row>
    <row r="5053" ht="22.5" customHeight="1">
      <c r="F5053" s="14"/>
    </row>
    <row r="5054" ht="22.5" customHeight="1">
      <c r="F5054" s="14"/>
    </row>
    <row r="5055" ht="22.5" customHeight="1">
      <c r="F5055" s="14"/>
    </row>
    <row r="5056" ht="22.5" customHeight="1">
      <c r="F5056" s="14"/>
    </row>
    <row r="5057" ht="22.5" customHeight="1">
      <c r="F5057" s="14"/>
    </row>
    <row r="5058" ht="22.5" customHeight="1">
      <c r="F5058" s="14"/>
    </row>
    <row r="5059" ht="22.5" customHeight="1">
      <c r="F5059" s="14"/>
    </row>
    <row r="5060" ht="22.5" customHeight="1">
      <c r="F5060" s="14"/>
    </row>
    <row r="5061" ht="22.5" customHeight="1">
      <c r="F5061" s="14"/>
    </row>
    <row r="5062" ht="22.5" customHeight="1">
      <c r="F5062" s="14"/>
    </row>
    <row r="5063" ht="22.5" customHeight="1">
      <c r="F5063" s="14"/>
    </row>
    <row r="5064" ht="22.5" customHeight="1">
      <c r="F5064" s="14"/>
    </row>
    <row r="5065" ht="22.5" customHeight="1">
      <c r="F5065" s="14"/>
    </row>
    <row r="5066" ht="22.5" customHeight="1">
      <c r="F5066" s="14"/>
    </row>
    <row r="5067" ht="22.5" customHeight="1">
      <c r="F5067" s="14"/>
    </row>
    <row r="5068" ht="22.5" customHeight="1">
      <c r="F5068" s="14"/>
    </row>
    <row r="5069" ht="22.5" customHeight="1">
      <c r="F5069" s="14"/>
    </row>
    <row r="5070" ht="22.5" customHeight="1">
      <c r="F5070" s="14"/>
    </row>
    <row r="5071" ht="22.5" customHeight="1">
      <c r="F5071" s="14"/>
    </row>
    <row r="5072" ht="22.5" customHeight="1">
      <c r="F5072" s="14"/>
    </row>
    <row r="5073" ht="22.5" customHeight="1">
      <c r="F5073" s="14"/>
    </row>
    <row r="5074" ht="22.5" customHeight="1">
      <c r="F5074" s="14"/>
    </row>
    <row r="5075" ht="22.5" customHeight="1">
      <c r="F5075" s="14"/>
    </row>
    <row r="5076" ht="22.5" customHeight="1">
      <c r="F5076" s="14"/>
    </row>
    <row r="5077" ht="22.5" customHeight="1">
      <c r="F5077" s="14"/>
    </row>
    <row r="5078" ht="22.5" customHeight="1">
      <c r="F5078" s="14"/>
    </row>
    <row r="5079" ht="22.5" customHeight="1">
      <c r="F5079" s="14"/>
    </row>
    <row r="5080" ht="22.5" customHeight="1">
      <c r="F5080" s="14"/>
    </row>
    <row r="5081" ht="22.5" customHeight="1">
      <c r="F5081" s="14"/>
    </row>
    <row r="5082" ht="22.5" customHeight="1">
      <c r="F5082" s="14"/>
    </row>
    <row r="5083" ht="22.5" customHeight="1">
      <c r="F5083" s="14"/>
    </row>
    <row r="5084" ht="22.5" customHeight="1">
      <c r="F5084" s="14"/>
    </row>
    <row r="5085" ht="22.5" customHeight="1">
      <c r="F5085" s="14"/>
    </row>
    <row r="5086" ht="22.5" customHeight="1">
      <c r="F5086" s="14"/>
    </row>
    <row r="5087" ht="22.5" customHeight="1">
      <c r="F5087" s="14"/>
    </row>
    <row r="5088" ht="22.5" customHeight="1">
      <c r="F5088" s="14"/>
    </row>
    <row r="5089" ht="22.5" customHeight="1">
      <c r="F5089" s="14"/>
    </row>
    <row r="5090" ht="22.5" customHeight="1">
      <c r="F5090" s="14"/>
    </row>
    <row r="5091" ht="22.5" customHeight="1">
      <c r="F5091" s="14"/>
    </row>
    <row r="5092" ht="22.5" customHeight="1">
      <c r="F5092" s="14"/>
    </row>
    <row r="5093" ht="22.5" customHeight="1">
      <c r="F5093" s="14"/>
    </row>
    <row r="5094" ht="22.5" customHeight="1">
      <c r="F5094" s="14"/>
    </row>
    <row r="5095" ht="22.5" customHeight="1">
      <c r="F5095" s="14"/>
    </row>
    <row r="5096" ht="22.5" customHeight="1">
      <c r="F5096" s="14"/>
    </row>
    <row r="5097" ht="22.5" customHeight="1">
      <c r="F5097" s="14"/>
    </row>
    <row r="5098" ht="22.5" customHeight="1">
      <c r="F5098" s="14"/>
    </row>
    <row r="5099" ht="22.5" customHeight="1">
      <c r="F5099" s="14"/>
    </row>
    <row r="5100" ht="22.5" customHeight="1">
      <c r="F5100" s="14"/>
    </row>
    <row r="5101" ht="22.5" customHeight="1">
      <c r="F5101" s="14"/>
    </row>
    <row r="5102" ht="22.5" customHeight="1">
      <c r="F5102" s="14"/>
    </row>
    <row r="5103" ht="22.5" customHeight="1">
      <c r="F5103" s="14"/>
    </row>
    <row r="5104" ht="22.5" customHeight="1">
      <c r="F5104" s="14"/>
    </row>
    <row r="5105" ht="22.5" customHeight="1">
      <c r="F5105" s="14"/>
    </row>
    <row r="5106" ht="22.5" customHeight="1">
      <c r="F5106" s="14"/>
    </row>
    <row r="5107" ht="22.5" customHeight="1">
      <c r="F5107" s="14"/>
    </row>
    <row r="5108" ht="22.5" customHeight="1">
      <c r="F5108" s="14"/>
    </row>
    <row r="5109" ht="22.5" customHeight="1">
      <c r="F5109" s="14"/>
    </row>
    <row r="5110" ht="22.5" customHeight="1">
      <c r="F5110" s="14"/>
    </row>
    <row r="5111" ht="22.5" customHeight="1">
      <c r="F5111" s="14"/>
    </row>
    <row r="5112" ht="22.5" customHeight="1">
      <c r="F5112" s="14"/>
    </row>
    <row r="5113" ht="22.5" customHeight="1">
      <c r="F5113" s="14"/>
    </row>
    <row r="5114" ht="22.5" customHeight="1">
      <c r="F5114" s="14"/>
    </row>
    <row r="5115" ht="22.5" customHeight="1">
      <c r="F5115" s="14"/>
    </row>
    <row r="5116" ht="22.5" customHeight="1">
      <c r="F5116" s="14"/>
    </row>
    <row r="5117" ht="22.5" customHeight="1">
      <c r="F5117" s="14"/>
    </row>
    <row r="5118" ht="22.5" customHeight="1">
      <c r="F5118" s="14"/>
    </row>
    <row r="5119" ht="22.5" customHeight="1">
      <c r="F5119" s="14"/>
    </row>
    <row r="5120" ht="22.5" customHeight="1">
      <c r="F5120" s="14"/>
    </row>
    <row r="5121" ht="22.5" customHeight="1">
      <c r="F5121" s="14"/>
    </row>
    <row r="5122" ht="22.5" customHeight="1">
      <c r="F5122" s="14"/>
    </row>
    <row r="5123" ht="22.5" customHeight="1">
      <c r="F5123" s="14"/>
    </row>
    <row r="5124" ht="22.5" customHeight="1">
      <c r="F5124" s="14"/>
    </row>
    <row r="5125" ht="22.5" customHeight="1">
      <c r="F5125" s="14"/>
    </row>
    <row r="5126" ht="22.5" customHeight="1">
      <c r="F5126" s="14"/>
    </row>
    <row r="5127" ht="22.5" customHeight="1">
      <c r="F5127" s="14"/>
    </row>
    <row r="5128" ht="22.5" customHeight="1">
      <c r="F5128" s="14"/>
    </row>
    <row r="5129" ht="22.5" customHeight="1">
      <c r="F5129" s="14"/>
    </row>
    <row r="5130" ht="22.5" customHeight="1">
      <c r="F5130" s="14"/>
    </row>
    <row r="5131" ht="22.5" customHeight="1">
      <c r="F5131" s="14"/>
    </row>
    <row r="5132" ht="22.5" customHeight="1">
      <c r="F5132" s="14"/>
    </row>
    <row r="5133" ht="22.5" customHeight="1">
      <c r="F5133" s="14"/>
    </row>
    <row r="5134" ht="22.5" customHeight="1">
      <c r="F5134" s="14"/>
    </row>
    <row r="5135" ht="22.5" customHeight="1">
      <c r="F5135" s="14"/>
    </row>
    <row r="5136" ht="22.5" customHeight="1">
      <c r="F5136" s="14"/>
    </row>
    <row r="5137" ht="22.5" customHeight="1">
      <c r="F5137" s="14"/>
    </row>
    <row r="5138" ht="22.5" customHeight="1">
      <c r="F5138" s="14"/>
    </row>
    <row r="5139" ht="22.5" customHeight="1">
      <c r="F5139" s="14"/>
    </row>
    <row r="5140" ht="22.5" customHeight="1">
      <c r="F5140" s="14"/>
    </row>
    <row r="5141" ht="22.5" customHeight="1">
      <c r="F5141" s="14"/>
    </row>
    <row r="5142" ht="22.5" customHeight="1">
      <c r="F5142" s="14"/>
    </row>
    <row r="5143" ht="22.5" customHeight="1">
      <c r="F5143" s="14"/>
    </row>
    <row r="5144" ht="22.5" customHeight="1">
      <c r="F5144" s="14"/>
    </row>
    <row r="5145" ht="22.5" customHeight="1">
      <c r="F5145" s="14"/>
    </row>
    <row r="5146" ht="22.5" customHeight="1">
      <c r="F5146" s="14"/>
    </row>
    <row r="5147" ht="22.5" customHeight="1">
      <c r="F5147" s="14"/>
    </row>
    <row r="5148" ht="22.5" customHeight="1">
      <c r="F5148" s="14"/>
    </row>
    <row r="5149" ht="22.5" customHeight="1">
      <c r="F5149" s="14"/>
    </row>
    <row r="5150" ht="22.5" customHeight="1">
      <c r="F5150" s="14"/>
    </row>
    <row r="5151" ht="22.5" customHeight="1">
      <c r="F5151" s="14"/>
    </row>
    <row r="5152" ht="22.5" customHeight="1">
      <c r="F5152" s="14"/>
    </row>
    <row r="5153" ht="22.5" customHeight="1">
      <c r="F5153" s="14"/>
    </row>
    <row r="5154" ht="22.5" customHeight="1">
      <c r="F5154" s="14"/>
    </row>
    <row r="5155" ht="22.5" customHeight="1">
      <c r="F5155" s="14"/>
    </row>
    <row r="5156" ht="22.5" customHeight="1">
      <c r="F5156" s="14"/>
    </row>
    <row r="5157" ht="22.5" customHeight="1">
      <c r="F5157" s="14"/>
    </row>
    <row r="5158" ht="22.5" customHeight="1">
      <c r="F5158" s="14"/>
    </row>
    <row r="5159" ht="22.5" customHeight="1">
      <c r="F5159" s="14"/>
    </row>
    <row r="5160" ht="22.5" customHeight="1">
      <c r="F5160" s="14"/>
    </row>
    <row r="5161" ht="22.5" customHeight="1">
      <c r="F5161" s="14"/>
    </row>
    <row r="5162" ht="22.5" customHeight="1">
      <c r="F5162" s="14"/>
    </row>
    <row r="5163" ht="22.5" customHeight="1">
      <c r="F5163" s="14"/>
    </row>
    <row r="5164" ht="22.5" customHeight="1">
      <c r="F5164" s="14"/>
    </row>
    <row r="5165" ht="22.5" customHeight="1">
      <c r="F5165" s="14"/>
    </row>
    <row r="5166" ht="22.5" customHeight="1">
      <c r="F5166" s="14"/>
    </row>
    <row r="5167" ht="22.5" customHeight="1">
      <c r="F5167" s="14"/>
    </row>
    <row r="5168" ht="22.5" customHeight="1">
      <c r="F5168" s="14"/>
    </row>
    <row r="5169" ht="22.5" customHeight="1">
      <c r="F5169" s="14"/>
    </row>
    <row r="5170" ht="22.5" customHeight="1">
      <c r="F5170" s="14"/>
    </row>
    <row r="5171" ht="22.5" customHeight="1">
      <c r="F5171" s="14"/>
    </row>
    <row r="5172" ht="22.5" customHeight="1">
      <c r="F5172" s="14"/>
    </row>
    <row r="5173" ht="22.5" customHeight="1">
      <c r="F5173" s="14"/>
    </row>
    <row r="5174" ht="22.5" customHeight="1">
      <c r="F5174" s="14"/>
    </row>
    <row r="5175" ht="22.5" customHeight="1">
      <c r="F5175" s="14"/>
    </row>
    <row r="5176" ht="22.5" customHeight="1">
      <c r="F5176" s="14"/>
    </row>
    <row r="5177" ht="22.5" customHeight="1">
      <c r="F5177" s="14"/>
    </row>
    <row r="5178" ht="22.5" customHeight="1">
      <c r="F5178" s="14"/>
    </row>
    <row r="5179" ht="22.5" customHeight="1">
      <c r="F5179" s="14"/>
    </row>
    <row r="5180" ht="22.5" customHeight="1">
      <c r="F5180" s="14"/>
    </row>
    <row r="5181" ht="22.5" customHeight="1">
      <c r="F5181" s="14"/>
    </row>
    <row r="5182" ht="22.5" customHeight="1">
      <c r="F5182" s="14"/>
    </row>
    <row r="5183" ht="22.5" customHeight="1">
      <c r="F5183" s="14"/>
    </row>
    <row r="5184" ht="22.5" customHeight="1">
      <c r="F5184" s="14"/>
    </row>
    <row r="5185" ht="22.5" customHeight="1">
      <c r="F5185" s="14"/>
    </row>
    <row r="5186" ht="22.5" customHeight="1">
      <c r="F5186" s="14"/>
    </row>
    <row r="5187" ht="22.5" customHeight="1">
      <c r="F5187" s="14"/>
    </row>
    <row r="5188" ht="22.5" customHeight="1">
      <c r="F5188" s="14"/>
    </row>
    <row r="5189" ht="22.5" customHeight="1">
      <c r="F5189" s="14"/>
    </row>
    <row r="5190" ht="22.5" customHeight="1">
      <c r="F5190" s="14"/>
    </row>
    <row r="5191" ht="22.5" customHeight="1">
      <c r="F5191" s="14"/>
    </row>
    <row r="5192" ht="22.5" customHeight="1">
      <c r="F5192" s="14"/>
    </row>
    <row r="5193" ht="22.5" customHeight="1">
      <c r="F5193" s="14"/>
    </row>
    <row r="5194" ht="22.5" customHeight="1">
      <c r="F5194" s="14"/>
    </row>
    <row r="5195" ht="22.5" customHeight="1">
      <c r="F5195" s="14"/>
    </row>
    <row r="5196" ht="22.5" customHeight="1">
      <c r="F5196" s="14"/>
    </row>
    <row r="5197" ht="22.5" customHeight="1">
      <c r="F5197" s="14"/>
    </row>
    <row r="5198" ht="22.5" customHeight="1">
      <c r="F5198" s="14"/>
    </row>
    <row r="5199" ht="22.5" customHeight="1">
      <c r="F5199" s="14"/>
    </row>
    <row r="5200" ht="22.5" customHeight="1">
      <c r="F5200" s="14"/>
    </row>
    <row r="5201" ht="22.5" customHeight="1">
      <c r="F5201" s="14"/>
    </row>
    <row r="5202" ht="22.5" customHeight="1">
      <c r="F5202" s="14"/>
    </row>
    <row r="5203" ht="22.5" customHeight="1">
      <c r="F5203" s="14"/>
    </row>
    <row r="5204" ht="22.5" customHeight="1">
      <c r="F5204" s="14"/>
    </row>
    <row r="5205" ht="22.5" customHeight="1">
      <c r="F5205" s="14"/>
    </row>
    <row r="5206" ht="22.5" customHeight="1">
      <c r="F5206" s="14"/>
    </row>
    <row r="5207" ht="22.5" customHeight="1">
      <c r="F5207" s="14"/>
    </row>
    <row r="5208" ht="22.5" customHeight="1">
      <c r="F5208" s="14"/>
    </row>
    <row r="5209" ht="22.5" customHeight="1">
      <c r="F5209" s="14"/>
    </row>
    <row r="5210" ht="22.5" customHeight="1">
      <c r="F5210" s="14"/>
    </row>
    <row r="5211" ht="22.5" customHeight="1">
      <c r="F5211" s="14"/>
    </row>
    <row r="5212" ht="22.5" customHeight="1">
      <c r="F5212" s="14"/>
    </row>
    <row r="5213" ht="22.5" customHeight="1">
      <c r="F5213" s="14"/>
    </row>
    <row r="5214" ht="22.5" customHeight="1">
      <c r="F5214" s="14"/>
    </row>
    <row r="5215" ht="22.5" customHeight="1">
      <c r="F5215" s="14"/>
    </row>
    <row r="5216" ht="22.5" customHeight="1">
      <c r="F5216" s="14"/>
    </row>
    <row r="5217" ht="22.5" customHeight="1">
      <c r="F5217" s="14"/>
    </row>
    <row r="5218" ht="22.5" customHeight="1">
      <c r="F5218" s="14"/>
    </row>
    <row r="5219" ht="22.5" customHeight="1">
      <c r="F5219" s="14"/>
    </row>
    <row r="5220" ht="22.5" customHeight="1">
      <c r="F5220" s="14"/>
    </row>
    <row r="5221" ht="22.5" customHeight="1">
      <c r="F5221" s="14"/>
    </row>
    <row r="5222" ht="22.5" customHeight="1">
      <c r="F5222" s="14"/>
    </row>
    <row r="5223" ht="22.5" customHeight="1">
      <c r="F5223" s="14"/>
    </row>
    <row r="5224" ht="22.5" customHeight="1">
      <c r="F5224" s="14"/>
    </row>
    <row r="5225" ht="22.5" customHeight="1">
      <c r="F5225" s="14"/>
    </row>
    <row r="5226" ht="22.5" customHeight="1">
      <c r="F5226" s="14"/>
    </row>
    <row r="5227" ht="22.5" customHeight="1">
      <c r="F5227" s="14"/>
    </row>
    <row r="5228" ht="22.5" customHeight="1">
      <c r="F5228" s="14"/>
    </row>
    <row r="5229" ht="22.5" customHeight="1">
      <c r="F5229" s="14"/>
    </row>
    <row r="5230" ht="22.5" customHeight="1">
      <c r="F5230" s="14"/>
    </row>
    <row r="5231" ht="22.5" customHeight="1">
      <c r="F5231" s="14"/>
    </row>
    <row r="5232" ht="22.5" customHeight="1">
      <c r="F5232" s="14"/>
    </row>
    <row r="5233" ht="22.5" customHeight="1">
      <c r="F5233" s="14"/>
    </row>
    <row r="5234" ht="22.5" customHeight="1">
      <c r="F5234" s="14"/>
    </row>
    <row r="5235" ht="22.5" customHeight="1">
      <c r="F5235" s="14"/>
    </row>
    <row r="5236" ht="22.5" customHeight="1">
      <c r="F5236" s="14"/>
    </row>
    <row r="5237" ht="22.5" customHeight="1">
      <c r="F5237" s="14"/>
    </row>
    <row r="5238" ht="22.5" customHeight="1">
      <c r="F5238" s="14"/>
    </row>
    <row r="5239" ht="22.5" customHeight="1">
      <c r="F5239" s="14"/>
    </row>
    <row r="5240" ht="22.5" customHeight="1">
      <c r="F5240" s="14"/>
    </row>
    <row r="5241" ht="22.5" customHeight="1">
      <c r="F5241" s="14"/>
    </row>
    <row r="5242" ht="22.5" customHeight="1">
      <c r="F5242" s="14"/>
    </row>
    <row r="5243" ht="22.5" customHeight="1">
      <c r="F5243" s="14"/>
    </row>
    <row r="5244" ht="22.5" customHeight="1">
      <c r="F5244" s="14"/>
    </row>
    <row r="5245" ht="22.5" customHeight="1">
      <c r="F5245" s="14"/>
    </row>
    <row r="5246" ht="22.5" customHeight="1">
      <c r="F5246" s="14"/>
    </row>
    <row r="5247" ht="22.5" customHeight="1">
      <c r="F5247" s="14"/>
    </row>
    <row r="5248" ht="22.5" customHeight="1">
      <c r="F5248" s="14"/>
    </row>
    <row r="5249" ht="22.5" customHeight="1">
      <c r="F5249" s="14"/>
    </row>
    <row r="5250" ht="22.5" customHeight="1">
      <c r="F5250" s="14"/>
    </row>
    <row r="5251" ht="22.5" customHeight="1">
      <c r="F5251" s="14"/>
    </row>
    <row r="5252" ht="22.5" customHeight="1">
      <c r="F5252" s="14"/>
    </row>
    <row r="5253" ht="22.5" customHeight="1">
      <c r="F5253" s="14"/>
    </row>
    <row r="5254" ht="22.5" customHeight="1">
      <c r="F5254" s="14"/>
    </row>
    <row r="5255" ht="22.5" customHeight="1">
      <c r="F5255" s="14"/>
    </row>
    <row r="5256" ht="22.5" customHeight="1">
      <c r="F5256" s="14"/>
    </row>
    <row r="5257" ht="22.5" customHeight="1">
      <c r="F5257" s="14"/>
    </row>
    <row r="5258" ht="22.5" customHeight="1">
      <c r="F5258" s="14"/>
    </row>
    <row r="5259" ht="22.5" customHeight="1">
      <c r="F5259" s="14"/>
    </row>
    <row r="5260" ht="22.5" customHeight="1">
      <c r="F5260" s="14"/>
    </row>
    <row r="5261" ht="22.5" customHeight="1">
      <c r="F5261" s="14"/>
    </row>
    <row r="5262" ht="22.5" customHeight="1">
      <c r="F5262" s="14"/>
    </row>
    <row r="5263" ht="22.5" customHeight="1">
      <c r="F5263" s="14"/>
    </row>
    <row r="5264" ht="22.5" customHeight="1">
      <c r="F5264" s="14"/>
    </row>
    <row r="5265" ht="22.5" customHeight="1">
      <c r="F5265" s="14"/>
    </row>
    <row r="5266" ht="22.5" customHeight="1">
      <c r="F5266" s="14"/>
    </row>
    <row r="5267" ht="22.5" customHeight="1">
      <c r="F5267" s="14"/>
    </row>
    <row r="5268" ht="22.5" customHeight="1">
      <c r="F5268" s="14"/>
    </row>
    <row r="5269" ht="22.5" customHeight="1">
      <c r="F5269" s="14"/>
    </row>
    <row r="5270" ht="22.5" customHeight="1">
      <c r="F5270" s="14"/>
    </row>
    <row r="5271" ht="22.5" customHeight="1">
      <c r="F5271" s="14"/>
    </row>
    <row r="5272" ht="22.5" customHeight="1">
      <c r="F5272" s="14"/>
    </row>
    <row r="5273" ht="22.5" customHeight="1">
      <c r="F5273" s="14"/>
    </row>
    <row r="5274" ht="22.5" customHeight="1">
      <c r="F5274" s="14"/>
    </row>
    <row r="5275" ht="22.5" customHeight="1">
      <c r="F5275" s="14"/>
    </row>
    <row r="5276" ht="22.5" customHeight="1">
      <c r="F5276" s="14"/>
    </row>
    <row r="5277" ht="22.5" customHeight="1">
      <c r="F5277" s="14"/>
    </row>
    <row r="5278" ht="22.5" customHeight="1">
      <c r="F5278" s="14"/>
    </row>
    <row r="5279" ht="22.5" customHeight="1">
      <c r="F5279" s="14"/>
    </row>
    <row r="5280" ht="22.5" customHeight="1">
      <c r="F5280" s="14"/>
    </row>
    <row r="5281" ht="22.5" customHeight="1">
      <c r="F5281" s="14"/>
    </row>
    <row r="5282" ht="22.5" customHeight="1">
      <c r="F5282" s="14"/>
    </row>
    <row r="5283" ht="22.5" customHeight="1">
      <c r="F5283" s="14"/>
    </row>
    <row r="5284" ht="22.5" customHeight="1">
      <c r="F5284" s="14"/>
    </row>
    <row r="5285" ht="22.5" customHeight="1">
      <c r="F5285" s="14"/>
    </row>
    <row r="5286" ht="22.5" customHeight="1">
      <c r="F5286" s="14"/>
    </row>
    <row r="5287" ht="22.5" customHeight="1">
      <c r="F5287" s="14"/>
    </row>
    <row r="5288" ht="22.5" customHeight="1">
      <c r="F5288" s="14"/>
    </row>
    <row r="5289" ht="22.5" customHeight="1">
      <c r="F5289" s="14"/>
    </row>
    <row r="5290" ht="22.5" customHeight="1">
      <c r="F5290" s="14"/>
    </row>
    <row r="5291" ht="22.5" customHeight="1">
      <c r="F5291" s="14"/>
    </row>
    <row r="5292" ht="22.5" customHeight="1">
      <c r="F5292" s="14"/>
    </row>
    <row r="5293" ht="22.5" customHeight="1">
      <c r="F5293" s="14"/>
    </row>
    <row r="5294" ht="22.5" customHeight="1">
      <c r="F5294" s="14"/>
    </row>
    <row r="5295" ht="22.5" customHeight="1">
      <c r="F5295" s="14"/>
    </row>
    <row r="5296" ht="22.5" customHeight="1">
      <c r="F5296" s="14"/>
    </row>
    <row r="5297" ht="22.5" customHeight="1">
      <c r="F5297" s="14"/>
    </row>
    <row r="5298" ht="22.5" customHeight="1">
      <c r="F5298" s="14"/>
    </row>
    <row r="5299" ht="22.5" customHeight="1">
      <c r="F5299" s="14"/>
    </row>
    <row r="5300" ht="22.5" customHeight="1">
      <c r="F5300" s="14"/>
    </row>
    <row r="5301" ht="22.5" customHeight="1">
      <c r="F5301" s="14"/>
    </row>
    <row r="5302" ht="22.5" customHeight="1">
      <c r="F5302" s="14"/>
    </row>
    <row r="5303" ht="22.5" customHeight="1">
      <c r="F5303" s="14"/>
    </row>
    <row r="5304" ht="22.5" customHeight="1">
      <c r="F5304" s="14"/>
    </row>
    <row r="5305" ht="22.5" customHeight="1">
      <c r="F5305" s="14"/>
    </row>
    <row r="5306" ht="22.5" customHeight="1">
      <c r="F5306" s="14"/>
    </row>
    <row r="5307" ht="22.5" customHeight="1">
      <c r="F5307" s="14"/>
    </row>
    <row r="5308" ht="22.5" customHeight="1">
      <c r="F5308" s="14"/>
    </row>
    <row r="5309" ht="22.5" customHeight="1">
      <c r="F5309" s="14"/>
    </row>
    <row r="5310" ht="22.5" customHeight="1">
      <c r="F5310" s="14"/>
    </row>
    <row r="5311" ht="22.5" customHeight="1">
      <c r="F5311" s="14"/>
    </row>
    <row r="5312" ht="22.5" customHeight="1">
      <c r="F5312" s="14"/>
    </row>
    <row r="5313" ht="22.5" customHeight="1">
      <c r="F5313" s="14"/>
    </row>
    <row r="5314" ht="22.5" customHeight="1">
      <c r="F5314" s="14"/>
    </row>
    <row r="5315" ht="22.5" customHeight="1">
      <c r="F5315" s="14"/>
    </row>
    <row r="5316" ht="22.5" customHeight="1">
      <c r="F5316" s="14"/>
    </row>
    <row r="5317" ht="22.5" customHeight="1">
      <c r="F5317" s="14"/>
    </row>
    <row r="5318" ht="22.5" customHeight="1">
      <c r="F5318" s="14"/>
    </row>
    <row r="5319" ht="22.5" customHeight="1">
      <c r="F5319" s="14"/>
    </row>
    <row r="5320" ht="22.5" customHeight="1">
      <c r="F5320" s="14"/>
    </row>
    <row r="5321" ht="22.5" customHeight="1">
      <c r="F5321" s="14"/>
    </row>
    <row r="5322" ht="22.5" customHeight="1">
      <c r="F5322" s="14"/>
    </row>
    <row r="5323" ht="22.5" customHeight="1">
      <c r="F5323" s="14"/>
    </row>
    <row r="5324" ht="22.5" customHeight="1">
      <c r="F5324" s="14"/>
    </row>
    <row r="5325" ht="22.5" customHeight="1">
      <c r="F5325" s="14"/>
    </row>
    <row r="5326" ht="22.5" customHeight="1">
      <c r="F5326" s="14"/>
    </row>
    <row r="5327" ht="22.5" customHeight="1">
      <c r="F5327" s="14"/>
    </row>
    <row r="5328" ht="22.5" customHeight="1">
      <c r="F5328" s="14"/>
    </row>
    <row r="5329" ht="22.5" customHeight="1">
      <c r="F5329" s="14"/>
    </row>
    <row r="5330" ht="22.5" customHeight="1">
      <c r="F5330" s="14"/>
    </row>
    <row r="5331" ht="22.5" customHeight="1">
      <c r="F5331" s="14"/>
    </row>
    <row r="5332" ht="22.5" customHeight="1">
      <c r="F5332" s="14"/>
    </row>
    <row r="5333" ht="22.5" customHeight="1">
      <c r="F5333" s="14"/>
    </row>
    <row r="5334" ht="22.5" customHeight="1">
      <c r="F5334" s="14"/>
    </row>
    <row r="5335" ht="22.5" customHeight="1">
      <c r="F5335" s="14"/>
    </row>
    <row r="5336" ht="22.5" customHeight="1">
      <c r="F5336" s="14"/>
    </row>
    <row r="5337" ht="22.5" customHeight="1">
      <c r="F5337" s="14"/>
    </row>
    <row r="5338" ht="22.5" customHeight="1">
      <c r="F5338" s="14"/>
    </row>
    <row r="5339" ht="22.5" customHeight="1">
      <c r="F5339" s="14"/>
    </row>
    <row r="5340" ht="22.5" customHeight="1">
      <c r="F5340" s="14"/>
    </row>
    <row r="5341" ht="22.5" customHeight="1">
      <c r="F5341" s="14"/>
    </row>
    <row r="5342" ht="22.5" customHeight="1">
      <c r="F5342" s="14"/>
    </row>
    <row r="5343" ht="22.5" customHeight="1">
      <c r="F5343" s="14"/>
    </row>
    <row r="5344" ht="22.5" customHeight="1">
      <c r="F5344" s="14"/>
    </row>
    <row r="5345" ht="22.5" customHeight="1">
      <c r="F5345" s="14"/>
    </row>
    <row r="5346" ht="22.5" customHeight="1">
      <c r="F5346" s="14"/>
    </row>
    <row r="5347" ht="22.5" customHeight="1">
      <c r="F5347" s="14"/>
    </row>
    <row r="5348" ht="22.5" customHeight="1">
      <c r="F5348" s="14"/>
    </row>
    <row r="5349" ht="22.5" customHeight="1">
      <c r="F5349" s="14"/>
    </row>
    <row r="5350" ht="22.5" customHeight="1">
      <c r="F5350" s="14"/>
    </row>
    <row r="5351" ht="22.5" customHeight="1">
      <c r="F5351" s="14"/>
    </row>
    <row r="5352" ht="22.5" customHeight="1">
      <c r="F5352" s="14"/>
    </row>
    <row r="5353" ht="22.5" customHeight="1">
      <c r="F5353" s="14"/>
    </row>
    <row r="5354" ht="22.5" customHeight="1">
      <c r="F5354" s="14"/>
    </row>
    <row r="5355" ht="22.5" customHeight="1">
      <c r="F5355" s="14"/>
    </row>
    <row r="5356" ht="22.5" customHeight="1">
      <c r="F5356" s="14"/>
    </row>
    <row r="5357" ht="22.5" customHeight="1">
      <c r="F5357" s="14"/>
    </row>
    <row r="5358" ht="22.5" customHeight="1">
      <c r="F5358" s="14"/>
    </row>
    <row r="5359" ht="22.5" customHeight="1">
      <c r="F5359" s="14"/>
    </row>
    <row r="5360" ht="22.5" customHeight="1">
      <c r="F5360" s="14"/>
    </row>
    <row r="5361" ht="22.5" customHeight="1">
      <c r="F5361" s="14"/>
    </row>
    <row r="5362" ht="22.5" customHeight="1">
      <c r="F5362" s="14"/>
    </row>
    <row r="5363" ht="22.5" customHeight="1">
      <c r="F5363" s="14"/>
    </row>
    <row r="5364" ht="22.5" customHeight="1">
      <c r="F5364" s="14"/>
    </row>
    <row r="5365" ht="22.5" customHeight="1">
      <c r="F5365" s="14"/>
    </row>
    <row r="5366" ht="22.5" customHeight="1">
      <c r="F5366" s="14"/>
    </row>
    <row r="5367" ht="22.5" customHeight="1">
      <c r="F5367" s="14"/>
    </row>
    <row r="5368" ht="22.5" customHeight="1">
      <c r="F5368" s="14"/>
    </row>
    <row r="5369" ht="22.5" customHeight="1">
      <c r="F5369" s="14"/>
    </row>
    <row r="5370" ht="22.5" customHeight="1">
      <c r="F5370" s="14"/>
    </row>
    <row r="5371" ht="22.5" customHeight="1">
      <c r="F5371" s="14"/>
    </row>
    <row r="5372" ht="22.5" customHeight="1">
      <c r="F5372" s="14"/>
    </row>
    <row r="5373" ht="22.5" customHeight="1">
      <c r="F5373" s="14"/>
    </row>
    <row r="5374" ht="22.5" customHeight="1">
      <c r="F5374" s="14"/>
    </row>
    <row r="5375" ht="22.5" customHeight="1">
      <c r="F5375" s="14"/>
    </row>
    <row r="5376" ht="22.5" customHeight="1">
      <c r="F5376" s="14"/>
    </row>
    <row r="5377" ht="22.5" customHeight="1">
      <c r="F5377" s="14"/>
    </row>
    <row r="5378" ht="22.5" customHeight="1">
      <c r="F5378" s="14"/>
    </row>
    <row r="5379" ht="22.5" customHeight="1">
      <c r="F5379" s="14"/>
    </row>
    <row r="5380" ht="22.5" customHeight="1">
      <c r="F5380" s="14"/>
    </row>
    <row r="5381" ht="22.5" customHeight="1">
      <c r="F5381" s="14"/>
    </row>
    <row r="5382" ht="22.5" customHeight="1">
      <c r="F5382" s="14"/>
    </row>
    <row r="5383" ht="22.5" customHeight="1">
      <c r="F5383" s="14"/>
    </row>
    <row r="5384" ht="22.5" customHeight="1">
      <c r="F5384" s="14"/>
    </row>
    <row r="5385" ht="22.5" customHeight="1">
      <c r="F5385" s="14"/>
    </row>
    <row r="5386" ht="22.5" customHeight="1">
      <c r="F5386" s="14"/>
    </row>
    <row r="5387" ht="22.5" customHeight="1">
      <c r="F5387" s="14"/>
    </row>
    <row r="5388" ht="22.5" customHeight="1">
      <c r="F5388" s="14"/>
    </row>
    <row r="5389" ht="22.5" customHeight="1">
      <c r="F5389" s="14"/>
    </row>
    <row r="5390" ht="22.5" customHeight="1">
      <c r="F5390" s="14"/>
    </row>
    <row r="5391" ht="22.5" customHeight="1">
      <c r="F5391" s="14"/>
    </row>
    <row r="5392" ht="22.5" customHeight="1">
      <c r="F5392" s="14"/>
    </row>
    <row r="5393" ht="22.5" customHeight="1">
      <c r="F5393" s="14"/>
    </row>
    <row r="5394" ht="22.5" customHeight="1">
      <c r="F5394" s="14"/>
    </row>
    <row r="5395" ht="22.5" customHeight="1">
      <c r="F5395" s="14"/>
    </row>
    <row r="5396" ht="22.5" customHeight="1">
      <c r="F5396" s="14"/>
    </row>
    <row r="5397" ht="22.5" customHeight="1">
      <c r="F5397" s="14"/>
    </row>
    <row r="5398" ht="22.5" customHeight="1">
      <c r="F5398" s="14"/>
    </row>
    <row r="5399" ht="22.5" customHeight="1">
      <c r="F5399" s="14"/>
    </row>
    <row r="5400" ht="22.5" customHeight="1">
      <c r="F5400" s="14"/>
    </row>
    <row r="5401" ht="22.5" customHeight="1">
      <c r="F5401" s="14"/>
    </row>
    <row r="5402" ht="22.5" customHeight="1">
      <c r="F5402" s="14"/>
    </row>
    <row r="5403" ht="22.5" customHeight="1">
      <c r="F5403" s="14"/>
    </row>
    <row r="5404" ht="22.5" customHeight="1">
      <c r="F5404" s="14"/>
    </row>
    <row r="5405" ht="22.5" customHeight="1">
      <c r="F5405" s="14"/>
    </row>
    <row r="5406" ht="22.5" customHeight="1">
      <c r="F5406" s="14"/>
    </row>
    <row r="5407" ht="22.5" customHeight="1">
      <c r="F5407" s="14"/>
    </row>
    <row r="5408" ht="22.5" customHeight="1">
      <c r="F5408" s="14"/>
    </row>
    <row r="5409" ht="22.5" customHeight="1">
      <c r="F5409" s="14"/>
    </row>
    <row r="5410" ht="22.5" customHeight="1">
      <c r="F5410" s="14"/>
    </row>
    <row r="5411" ht="22.5" customHeight="1">
      <c r="F5411" s="14"/>
    </row>
    <row r="5412" ht="22.5" customHeight="1">
      <c r="F5412" s="14"/>
    </row>
    <row r="5413" ht="22.5" customHeight="1">
      <c r="F5413" s="14"/>
    </row>
    <row r="5414" ht="22.5" customHeight="1">
      <c r="F5414" s="14"/>
    </row>
    <row r="5415" ht="22.5" customHeight="1">
      <c r="F5415" s="14"/>
    </row>
    <row r="5416" ht="22.5" customHeight="1">
      <c r="F5416" s="14"/>
    </row>
    <row r="5417" ht="22.5" customHeight="1">
      <c r="F5417" s="14"/>
    </row>
    <row r="5418" ht="22.5" customHeight="1">
      <c r="F5418" s="14"/>
    </row>
    <row r="5419" ht="22.5" customHeight="1">
      <c r="F5419" s="14"/>
    </row>
    <row r="5420" ht="22.5" customHeight="1">
      <c r="F5420" s="14"/>
    </row>
    <row r="5421" ht="22.5" customHeight="1">
      <c r="F5421" s="14"/>
    </row>
    <row r="5422" ht="22.5" customHeight="1">
      <c r="F5422" s="14"/>
    </row>
    <row r="5423" ht="22.5" customHeight="1">
      <c r="F5423" s="14"/>
    </row>
    <row r="5424" ht="22.5" customHeight="1">
      <c r="F5424" s="14"/>
    </row>
    <row r="5425" ht="22.5" customHeight="1">
      <c r="F5425" s="14"/>
    </row>
    <row r="5426" ht="22.5" customHeight="1">
      <c r="F5426" s="14"/>
    </row>
    <row r="5427" ht="22.5" customHeight="1">
      <c r="F5427" s="14"/>
    </row>
    <row r="5428" ht="22.5" customHeight="1">
      <c r="F5428" s="14"/>
    </row>
    <row r="5429" ht="22.5" customHeight="1">
      <c r="F5429" s="14"/>
    </row>
    <row r="5430" ht="22.5" customHeight="1">
      <c r="F5430" s="14"/>
    </row>
    <row r="5431" ht="22.5" customHeight="1">
      <c r="F5431" s="14"/>
    </row>
    <row r="5432" ht="22.5" customHeight="1">
      <c r="F5432" s="14"/>
    </row>
    <row r="5433" ht="22.5" customHeight="1">
      <c r="F5433" s="14"/>
    </row>
    <row r="5434" ht="22.5" customHeight="1">
      <c r="F5434" s="14"/>
    </row>
    <row r="5435" ht="22.5" customHeight="1">
      <c r="F5435" s="14"/>
    </row>
    <row r="5436" ht="22.5" customHeight="1">
      <c r="F5436" s="14"/>
    </row>
    <row r="5437" ht="22.5" customHeight="1">
      <c r="F5437" s="14"/>
    </row>
    <row r="5438" ht="22.5" customHeight="1">
      <c r="F5438" s="14"/>
    </row>
    <row r="5439" ht="22.5" customHeight="1">
      <c r="F5439" s="14"/>
    </row>
    <row r="5440" ht="22.5" customHeight="1">
      <c r="F5440" s="14"/>
    </row>
    <row r="5441" ht="22.5" customHeight="1">
      <c r="F5441" s="14"/>
    </row>
    <row r="5442" ht="22.5" customHeight="1">
      <c r="F5442" s="14"/>
    </row>
    <row r="5443" ht="22.5" customHeight="1">
      <c r="F5443" s="14"/>
    </row>
    <row r="5444" ht="22.5" customHeight="1">
      <c r="F5444" s="14"/>
    </row>
    <row r="5445" ht="22.5" customHeight="1">
      <c r="F5445" s="14"/>
    </row>
    <row r="5446" ht="22.5" customHeight="1">
      <c r="F5446" s="14"/>
    </row>
    <row r="5447" ht="22.5" customHeight="1">
      <c r="F5447" s="14"/>
    </row>
    <row r="5448" ht="22.5" customHeight="1">
      <c r="F5448" s="14"/>
    </row>
    <row r="5449" ht="22.5" customHeight="1">
      <c r="F5449" s="14"/>
    </row>
    <row r="5450" ht="22.5" customHeight="1">
      <c r="F5450" s="14"/>
    </row>
    <row r="5451" ht="22.5" customHeight="1">
      <c r="F5451" s="14"/>
    </row>
    <row r="5452" ht="22.5" customHeight="1">
      <c r="F5452" s="14"/>
    </row>
    <row r="5453" ht="22.5" customHeight="1">
      <c r="F5453" s="14"/>
    </row>
    <row r="5454" ht="22.5" customHeight="1">
      <c r="F5454" s="14"/>
    </row>
    <row r="5455" ht="22.5" customHeight="1">
      <c r="F5455" s="14"/>
    </row>
    <row r="5456" ht="22.5" customHeight="1">
      <c r="F5456" s="14"/>
    </row>
    <row r="5457" ht="22.5" customHeight="1">
      <c r="F5457" s="14"/>
    </row>
    <row r="5458" ht="22.5" customHeight="1">
      <c r="F5458" s="14"/>
    </row>
    <row r="5459" ht="22.5" customHeight="1">
      <c r="F5459" s="14"/>
    </row>
    <row r="5460" ht="22.5" customHeight="1">
      <c r="F5460" s="14"/>
    </row>
    <row r="5461" ht="22.5" customHeight="1">
      <c r="F5461" s="14"/>
    </row>
    <row r="5462" ht="22.5" customHeight="1">
      <c r="F5462" s="14"/>
    </row>
    <row r="5463" ht="22.5" customHeight="1">
      <c r="F5463" s="14"/>
    </row>
    <row r="5464" ht="22.5" customHeight="1">
      <c r="F5464" s="14"/>
    </row>
    <row r="5465" ht="22.5" customHeight="1">
      <c r="F5465" s="14"/>
    </row>
    <row r="5466" ht="22.5" customHeight="1">
      <c r="F5466" s="14"/>
    </row>
    <row r="5467" ht="22.5" customHeight="1">
      <c r="F5467" s="14"/>
    </row>
    <row r="5468" ht="22.5" customHeight="1">
      <c r="F5468" s="14"/>
    </row>
    <row r="5469" ht="22.5" customHeight="1">
      <c r="F5469" s="14"/>
    </row>
    <row r="5470" ht="22.5" customHeight="1">
      <c r="F5470" s="14"/>
    </row>
    <row r="5471" ht="22.5" customHeight="1">
      <c r="F5471" s="14"/>
    </row>
    <row r="5472" ht="22.5" customHeight="1">
      <c r="F5472" s="14"/>
    </row>
    <row r="5473" ht="22.5" customHeight="1">
      <c r="F5473" s="14"/>
    </row>
    <row r="5474" ht="22.5" customHeight="1">
      <c r="F5474" s="14"/>
    </row>
    <row r="5475" ht="22.5" customHeight="1">
      <c r="F5475" s="14"/>
    </row>
    <row r="5476" ht="22.5" customHeight="1">
      <c r="F5476" s="14"/>
    </row>
    <row r="5477" ht="22.5" customHeight="1">
      <c r="F5477" s="14"/>
    </row>
    <row r="5478" ht="22.5" customHeight="1">
      <c r="F5478" s="14"/>
    </row>
    <row r="5479" ht="22.5" customHeight="1">
      <c r="F5479" s="14"/>
    </row>
    <row r="5480" ht="22.5" customHeight="1">
      <c r="F5480" s="14"/>
    </row>
    <row r="5481" ht="22.5" customHeight="1">
      <c r="F5481" s="14"/>
    </row>
    <row r="5482" ht="22.5" customHeight="1">
      <c r="F5482" s="14"/>
    </row>
    <row r="5483" ht="22.5" customHeight="1">
      <c r="F5483" s="14"/>
    </row>
    <row r="5484" ht="22.5" customHeight="1">
      <c r="F5484" s="14"/>
    </row>
    <row r="5485" ht="22.5" customHeight="1">
      <c r="F5485" s="14"/>
    </row>
    <row r="5486" ht="22.5" customHeight="1">
      <c r="F5486" s="14"/>
    </row>
    <row r="5487" ht="22.5" customHeight="1">
      <c r="F5487" s="14"/>
    </row>
    <row r="5488" ht="22.5" customHeight="1">
      <c r="F5488" s="14"/>
    </row>
    <row r="5489" ht="22.5" customHeight="1">
      <c r="F5489" s="14"/>
    </row>
    <row r="5490" ht="22.5" customHeight="1">
      <c r="F5490" s="14"/>
    </row>
    <row r="5491" ht="22.5" customHeight="1">
      <c r="F5491" s="14"/>
    </row>
    <row r="5492" ht="22.5" customHeight="1">
      <c r="F5492" s="14"/>
    </row>
    <row r="5493" ht="22.5" customHeight="1">
      <c r="F5493" s="14"/>
    </row>
    <row r="5494" ht="22.5" customHeight="1">
      <c r="F5494" s="14"/>
    </row>
    <row r="5495" ht="22.5" customHeight="1">
      <c r="F5495" s="14"/>
    </row>
    <row r="5496" ht="22.5" customHeight="1">
      <c r="F5496" s="14"/>
    </row>
    <row r="5497" ht="22.5" customHeight="1">
      <c r="F5497" s="14"/>
    </row>
    <row r="5498" ht="22.5" customHeight="1">
      <c r="F5498" s="14"/>
    </row>
    <row r="5499" ht="22.5" customHeight="1">
      <c r="F5499" s="14"/>
    </row>
    <row r="5500" ht="22.5" customHeight="1">
      <c r="F5500" s="14"/>
    </row>
    <row r="5501" ht="22.5" customHeight="1">
      <c r="F5501" s="14"/>
    </row>
    <row r="5502" ht="22.5" customHeight="1">
      <c r="F5502" s="14"/>
    </row>
    <row r="5503" ht="22.5" customHeight="1">
      <c r="F5503" s="14"/>
    </row>
    <row r="5504" ht="22.5" customHeight="1">
      <c r="F5504" s="14"/>
    </row>
    <row r="5505" ht="22.5" customHeight="1">
      <c r="F5505" s="14"/>
    </row>
    <row r="5506" ht="22.5" customHeight="1">
      <c r="F5506" s="14"/>
    </row>
    <row r="5507" ht="22.5" customHeight="1">
      <c r="F5507" s="14"/>
    </row>
    <row r="5508" ht="22.5" customHeight="1">
      <c r="F5508" s="14"/>
    </row>
    <row r="5509" ht="22.5" customHeight="1">
      <c r="F5509" s="14"/>
    </row>
    <row r="5510" ht="22.5" customHeight="1">
      <c r="F5510" s="14"/>
    </row>
    <row r="5511" ht="22.5" customHeight="1">
      <c r="F5511" s="14"/>
    </row>
    <row r="5512" ht="22.5" customHeight="1">
      <c r="F5512" s="14"/>
    </row>
    <row r="5513" ht="22.5" customHeight="1">
      <c r="F5513" s="14"/>
    </row>
    <row r="5514" ht="22.5" customHeight="1">
      <c r="F5514" s="14"/>
    </row>
    <row r="5515" ht="22.5" customHeight="1">
      <c r="F5515" s="14"/>
    </row>
    <row r="5516" ht="22.5" customHeight="1">
      <c r="F5516" s="14"/>
    </row>
    <row r="5517" ht="22.5" customHeight="1">
      <c r="F5517" s="14"/>
    </row>
    <row r="5518" ht="22.5" customHeight="1">
      <c r="F5518" s="14"/>
    </row>
    <row r="5519" ht="22.5" customHeight="1">
      <c r="F5519" s="14"/>
    </row>
    <row r="5520" ht="22.5" customHeight="1">
      <c r="F5520" s="14"/>
    </row>
    <row r="5521" ht="22.5" customHeight="1">
      <c r="F5521" s="14"/>
    </row>
    <row r="5522" ht="22.5" customHeight="1">
      <c r="F5522" s="14"/>
    </row>
    <row r="5523" ht="22.5" customHeight="1">
      <c r="F5523" s="14"/>
    </row>
    <row r="5524" ht="22.5" customHeight="1">
      <c r="F5524" s="14"/>
    </row>
    <row r="5525" ht="22.5" customHeight="1">
      <c r="F5525" s="14"/>
    </row>
    <row r="5526" ht="22.5" customHeight="1">
      <c r="F5526" s="14"/>
    </row>
    <row r="5527" ht="22.5" customHeight="1">
      <c r="F5527" s="14"/>
    </row>
    <row r="5528" ht="22.5" customHeight="1">
      <c r="F5528" s="14"/>
    </row>
    <row r="5529" ht="22.5" customHeight="1">
      <c r="F5529" s="14"/>
    </row>
    <row r="5530" ht="22.5" customHeight="1">
      <c r="F5530" s="14"/>
    </row>
    <row r="5531" ht="22.5" customHeight="1">
      <c r="F5531" s="14"/>
    </row>
    <row r="5532" ht="22.5" customHeight="1">
      <c r="F5532" s="14"/>
    </row>
    <row r="5533" ht="22.5" customHeight="1">
      <c r="F5533" s="14"/>
    </row>
    <row r="5534" ht="22.5" customHeight="1">
      <c r="F5534" s="14"/>
    </row>
    <row r="5535" ht="22.5" customHeight="1">
      <c r="F5535" s="14"/>
    </row>
    <row r="5536" ht="22.5" customHeight="1">
      <c r="F5536" s="14"/>
    </row>
    <row r="5537" ht="22.5" customHeight="1">
      <c r="F5537" s="14"/>
    </row>
    <row r="5538" ht="22.5" customHeight="1">
      <c r="F5538" s="14"/>
    </row>
    <row r="5539" ht="22.5" customHeight="1">
      <c r="F5539" s="14"/>
    </row>
    <row r="5540" ht="22.5" customHeight="1">
      <c r="F5540" s="14"/>
    </row>
    <row r="5541" ht="22.5" customHeight="1">
      <c r="F5541" s="14"/>
    </row>
    <row r="5542" ht="22.5" customHeight="1">
      <c r="F5542" s="14"/>
    </row>
    <row r="5543" ht="22.5" customHeight="1">
      <c r="F5543" s="14"/>
    </row>
    <row r="5544" ht="22.5" customHeight="1">
      <c r="F5544" s="14"/>
    </row>
    <row r="5545" ht="22.5" customHeight="1">
      <c r="F5545" s="14"/>
    </row>
    <row r="5546" ht="22.5" customHeight="1">
      <c r="F5546" s="14"/>
    </row>
    <row r="5547" ht="22.5" customHeight="1">
      <c r="F5547" s="14"/>
    </row>
    <row r="5548" ht="22.5" customHeight="1">
      <c r="F5548" s="14"/>
    </row>
    <row r="5549" ht="22.5" customHeight="1">
      <c r="F5549" s="14"/>
    </row>
    <row r="5550" ht="22.5" customHeight="1">
      <c r="F5550" s="14"/>
    </row>
    <row r="5551" ht="22.5" customHeight="1">
      <c r="F5551" s="14"/>
    </row>
    <row r="5552" ht="22.5" customHeight="1">
      <c r="F5552" s="14"/>
    </row>
    <row r="5553" ht="22.5" customHeight="1">
      <c r="F5553" s="14"/>
    </row>
    <row r="5554" ht="22.5" customHeight="1">
      <c r="F5554" s="14"/>
    </row>
    <row r="5555" ht="22.5" customHeight="1">
      <c r="F5555" s="14"/>
    </row>
    <row r="5556" ht="22.5" customHeight="1">
      <c r="F5556" s="14"/>
    </row>
    <row r="5557" ht="22.5" customHeight="1">
      <c r="F5557" s="14"/>
    </row>
    <row r="5558" ht="22.5" customHeight="1">
      <c r="F5558" s="14"/>
    </row>
    <row r="5559" ht="22.5" customHeight="1">
      <c r="F5559" s="14"/>
    </row>
    <row r="5560" ht="22.5" customHeight="1">
      <c r="F5560" s="14"/>
    </row>
    <row r="5561" ht="22.5" customHeight="1">
      <c r="F5561" s="14"/>
    </row>
    <row r="5562" ht="22.5" customHeight="1">
      <c r="F5562" s="14"/>
    </row>
    <row r="5563" ht="22.5" customHeight="1">
      <c r="F5563" s="14"/>
    </row>
    <row r="5564" ht="22.5" customHeight="1">
      <c r="F5564" s="14"/>
    </row>
    <row r="5565" ht="22.5" customHeight="1">
      <c r="F5565" s="14"/>
    </row>
    <row r="5566" ht="22.5" customHeight="1">
      <c r="F5566" s="14"/>
    </row>
    <row r="5567" ht="22.5" customHeight="1">
      <c r="F5567" s="14"/>
    </row>
    <row r="5568" ht="22.5" customHeight="1">
      <c r="F5568" s="14"/>
    </row>
    <row r="5569" ht="22.5" customHeight="1">
      <c r="F5569" s="14"/>
    </row>
    <row r="5570" ht="22.5" customHeight="1">
      <c r="F5570" s="14"/>
    </row>
    <row r="5571" ht="22.5" customHeight="1">
      <c r="F5571" s="14"/>
    </row>
    <row r="5572" ht="22.5" customHeight="1">
      <c r="F5572" s="14"/>
    </row>
    <row r="5573" ht="22.5" customHeight="1">
      <c r="F5573" s="14"/>
    </row>
    <row r="5574" ht="22.5" customHeight="1">
      <c r="F5574" s="14"/>
    </row>
    <row r="5575" ht="22.5" customHeight="1">
      <c r="F5575" s="14"/>
    </row>
    <row r="5576" ht="22.5" customHeight="1">
      <c r="F5576" s="14"/>
    </row>
    <row r="5577" ht="22.5" customHeight="1">
      <c r="F5577" s="14"/>
    </row>
    <row r="5578" ht="22.5" customHeight="1">
      <c r="F5578" s="14"/>
    </row>
    <row r="5579" ht="22.5" customHeight="1">
      <c r="F5579" s="14"/>
    </row>
    <row r="5580" ht="22.5" customHeight="1">
      <c r="F5580" s="14"/>
    </row>
    <row r="5581" ht="22.5" customHeight="1">
      <c r="F5581" s="14"/>
    </row>
    <row r="5582" ht="22.5" customHeight="1">
      <c r="F5582" s="14"/>
    </row>
    <row r="5583" ht="22.5" customHeight="1">
      <c r="F5583" s="14"/>
    </row>
    <row r="5584" ht="22.5" customHeight="1">
      <c r="F5584" s="14"/>
    </row>
    <row r="5585" ht="22.5" customHeight="1">
      <c r="F5585" s="14"/>
    </row>
    <row r="5586" ht="22.5" customHeight="1">
      <c r="F5586" s="14"/>
    </row>
    <row r="5587" ht="22.5" customHeight="1">
      <c r="F5587" s="14"/>
    </row>
    <row r="5588" ht="22.5" customHeight="1">
      <c r="F5588" s="14"/>
    </row>
    <row r="5589" ht="22.5" customHeight="1">
      <c r="F5589" s="14"/>
    </row>
    <row r="5590" ht="22.5" customHeight="1">
      <c r="F5590" s="14"/>
    </row>
    <row r="5591" ht="22.5" customHeight="1">
      <c r="F5591" s="14"/>
    </row>
    <row r="5592" ht="22.5" customHeight="1">
      <c r="F5592" s="14"/>
    </row>
    <row r="5593" ht="22.5" customHeight="1">
      <c r="F5593" s="14"/>
    </row>
    <row r="5594" ht="22.5" customHeight="1">
      <c r="F5594" s="14"/>
    </row>
    <row r="5595" ht="22.5" customHeight="1">
      <c r="F5595" s="14"/>
    </row>
    <row r="5596" ht="22.5" customHeight="1">
      <c r="F5596" s="14"/>
    </row>
    <row r="5597" ht="22.5" customHeight="1">
      <c r="F5597" s="14"/>
    </row>
    <row r="5598" ht="22.5" customHeight="1">
      <c r="F5598" s="14"/>
    </row>
    <row r="5599" ht="22.5" customHeight="1">
      <c r="F5599" s="14"/>
    </row>
    <row r="5600" ht="22.5" customHeight="1">
      <c r="F5600" s="14"/>
    </row>
    <row r="5601" ht="22.5" customHeight="1">
      <c r="F5601" s="14"/>
    </row>
    <row r="5602" ht="22.5" customHeight="1">
      <c r="F5602" s="14"/>
    </row>
    <row r="5603" ht="22.5" customHeight="1">
      <c r="F5603" s="14"/>
    </row>
    <row r="5604" ht="22.5" customHeight="1">
      <c r="F5604" s="14"/>
    </row>
    <row r="5605" ht="22.5" customHeight="1">
      <c r="F5605" s="14"/>
    </row>
    <row r="5606" ht="22.5" customHeight="1">
      <c r="F5606" s="14"/>
    </row>
    <row r="5607" ht="22.5" customHeight="1">
      <c r="F5607" s="14"/>
    </row>
    <row r="5608" ht="22.5" customHeight="1">
      <c r="F5608" s="14"/>
    </row>
    <row r="5609" ht="22.5" customHeight="1">
      <c r="F5609" s="14"/>
    </row>
    <row r="5610" ht="22.5" customHeight="1">
      <c r="F5610" s="14"/>
    </row>
    <row r="5611" ht="22.5" customHeight="1">
      <c r="F5611" s="14"/>
    </row>
    <row r="5612" ht="22.5" customHeight="1">
      <c r="F5612" s="14"/>
    </row>
    <row r="5613" ht="22.5" customHeight="1">
      <c r="F5613" s="14"/>
    </row>
    <row r="5614" ht="22.5" customHeight="1">
      <c r="F5614" s="14"/>
    </row>
    <row r="5615" ht="22.5" customHeight="1">
      <c r="F5615" s="14"/>
    </row>
    <row r="5616" ht="22.5" customHeight="1">
      <c r="F5616" s="14"/>
    </row>
    <row r="5617" ht="22.5" customHeight="1">
      <c r="F5617" s="14"/>
    </row>
    <row r="5618" ht="22.5" customHeight="1">
      <c r="F5618" s="14"/>
    </row>
    <row r="5619" ht="22.5" customHeight="1">
      <c r="F5619" s="14"/>
    </row>
    <row r="5620" ht="22.5" customHeight="1">
      <c r="F5620" s="14"/>
    </row>
    <row r="5621" ht="22.5" customHeight="1">
      <c r="F5621" s="14"/>
    </row>
    <row r="5622" ht="22.5" customHeight="1">
      <c r="F5622" s="14"/>
    </row>
    <row r="5623" ht="22.5" customHeight="1">
      <c r="F5623" s="14"/>
    </row>
    <row r="5624" ht="22.5" customHeight="1">
      <c r="F5624" s="14"/>
    </row>
    <row r="5625" ht="22.5" customHeight="1">
      <c r="F5625" s="14"/>
    </row>
    <row r="5626" ht="22.5" customHeight="1">
      <c r="F5626" s="14"/>
    </row>
    <row r="5627" ht="22.5" customHeight="1">
      <c r="F5627" s="14"/>
    </row>
    <row r="5628" ht="22.5" customHeight="1">
      <c r="F5628" s="14"/>
    </row>
    <row r="5629" ht="22.5" customHeight="1">
      <c r="F5629" s="14"/>
    </row>
    <row r="5630" ht="22.5" customHeight="1">
      <c r="F5630" s="14"/>
    </row>
    <row r="5631" ht="22.5" customHeight="1">
      <c r="F5631" s="14"/>
    </row>
    <row r="5632" ht="22.5" customHeight="1">
      <c r="F5632" s="14"/>
    </row>
    <row r="5633" ht="22.5" customHeight="1">
      <c r="F5633" s="14"/>
    </row>
    <row r="5634" ht="22.5" customHeight="1">
      <c r="F5634" s="14"/>
    </row>
    <row r="5635" ht="22.5" customHeight="1">
      <c r="F5635" s="14"/>
    </row>
    <row r="5636" ht="22.5" customHeight="1">
      <c r="F5636" s="14"/>
    </row>
    <row r="5637" ht="22.5" customHeight="1">
      <c r="F5637" s="14"/>
    </row>
    <row r="5638" ht="22.5" customHeight="1">
      <c r="F5638" s="14"/>
    </row>
    <row r="5639" ht="22.5" customHeight="1">
      <c r="F5639" s="14"/>
    </row>
    <row r="5640" ht="22.5" customHeight="1">
      <c r="F5640" s="14"/>
    </row>
    <row r="5641" ht="22.5" customHeight="1">
      <c r="F5641" s="14"/>
    </row>
    <row r="5642" ht="22.5" customHeight="1">
      <c r="F5642" s="14"/>
    </row>
    <row r="5643" ht="22.5" customHeight="1">
      <c r="F5643" s="14"/>
    </row>
    <row r="5644" ht="22.5" customHeight="1">
      <c r="F5644" s="14"/>
    </row>
    <row r="5645" ht="22.5" customHeight="1">
      <c r="F5645" s="14"/>
    </row>
    <row r="5646" ht="22.5" customHeight="1">
      <c r="F5646" s="14"/>
    </row>
    <row r="5647" ht="22.5" customHeight="1">
      <c r="F5647" s="14"/>
    </row>
    <row r="5648" ht="22.5" customHeight="1">
      <c r="F5648" s="14"/>
    </row>
    <row r="5649" ht="22.5" customHeight="1">
      <c r="F5649" s="14"/>
    </row>
    <row r="5650" ht="22.5" customHeight="1">
      <c r="F5650" s="14"/>
    </row>
    <row r="5651" ht="22.5" customHeight="1">
      <c r="F5651" s="14"/>
    </row>
    <row r="5652" ht="22.5" customHeight="1">
      <c r="F5652" s="14"/>
    </row>
    <row r="5653" ht="22.5" customHeight="1">
      <c r="F5653" s="14"/>
    </row>
    <row r="5654" ht="22.5" customHeight="1">
      <c r="F5654" s="14"/>
    </row>
    <row r="5655" ht="22.5" customHeight="1">
      <c r="F5655" s="14"/>
    </row>
    <row r="5656" ht="22.5" customHeight="1">
      <c r="F5656" s="14"/>
    </row>
    <row r="5657" ht="22.5" customHeight="1">
      <c r="F5657" s="14"/>
    </row>
    <row r="5658" ht="22.5" customHeight="1">
      <c r="F5658" s="14"/>
    </row>
    <row r="5659" ht="22.5" customHeight="1">
      <c r="F5659" s="14"/>
    </row>
    <row r="5660" ht="22.5" customHeight="1">
      <c r="F5660" s="14"/>
    </row>
    <row r="5661" ht="22.5" customHeight="1">
      <c r="F5661" s="14"/>
    </row>
    <row r="5662" ht="22.5" customHeight="1">
      <c r="F5662" s="14"/>
    </row>
    <row r="5663" ht="22.5" customHeight="1">
      <c r="F5663" s="14"/>
    </row>
    <row r="5664" ht="22.5" customHeight="1">
      <c r="F5664" s="14"/>
    </row>
    <row r="5665" ht="22.5" customHeight="1">
      <c r="F5665" s="14"/>
    </row>
    <row r="5666" ht="22.5" customHeight="1">
      <c r="F5666" s="14"/>
    </row>
    <row r="5667" ht="22.5" customHeight="1">
      <c r="F5667" s="14"/>
    </row>
    <row r="5668" ht="22.5" customHeight="1">
      <c r="F5668" s="14"/>
    </row>
    <row r="5669" ht="22.5" customHeight="1">
      <c r="F5669" s="14"/>
    </row>
    <row r="5670" ht="22.5" customHeight="1">
      <c r="F5670" s="14"/>
    </row>
    <row r="5671" ht="22.5" customHeight="1">
      <c r="F5671" s="14"/>
    </row>
    <row r="5672" ht="22.5" customHeight="1">
      <c r="F5672" s="14"/>
    </row>
    <row r="5673" ht="22.5" customHeight="1">
      <c r="F5673" s="14"/>
    </row>
    <row r="5674" ht="22.5" customHeight="1">
      <c r="F5674" s="14"/>
    </row>
    <row r="5675" ht="22.5" customHeight="1">
      <c r="F5675" s="14"/>
    </row>
    <row r="5676" ht="22.5" customHeight="1">
      <c r="F5676" s="14"/>
    </row>
    <row r="5677" ht="22.5" customHeight="1">
      <c r="F5677" s="14"/>
    </row>
    <row r="5678" ht="22.5" customHeight="1">
      <c r="F5678" s="14"/>
    </row>
    <row r="5679" ht="22.5" customHeight="1">
      <c r="F5679" s="14"/>
    </row>
    <row r="5680" ht="22.5" customHeight="1">
      <c r="F5680" s="14"/>
    </row>
    <row r="5681" ht="22.5" customHeight="1">
      <c r="F5681" s="14"/>
    </row>
    <row r="5682" ht="22.5" customHeight="1">
      <c r="F5682" s="14"/>
    </row>
    <row r="5683" ht="22.5" customHeight="1">
      <c r="F5683" s="14"/>
    </row>
    <row r="5684" ht="22.5" customHeight="1">
      <c r="F5684" s="14"/>
    </row>
    <row r="5685" ht="22.5" customHeight="1">
      <c r="F5685" s="14"/>
    </row>
    <row r="5686" ht="22.5" customHeight="1">
      <c r="F5686" s="14"/>
    </row>
    <row r="5687" ht="22.5" customHeight="1">
      <c r="F5687" s="14"/>
    </row>
    <row r="5688" ht="22.5" customHeight="1">
      <c r="F5688" s="14"/>
    </row>
    <row r="5689" ht="22.5" customHeight="1">
      <c r="F5689" s="14"/>
    </row>
    <row r="5690" ht="22.5" customHeight="1">
      <c r="F5690" s="14"/>
    </row>
    <row r="5691" ht="22.5" customHeight="1">
      <c r="F5691" s="14"/>
    </row>
    <row r="5692" ht="22.5" customHeight="1">
      <c r="F5692" s="14"/>
    </row>
    <row r="5693" ht="22.5" customHeight="1">
      <c r="F5693" s="14"/>
    </row>
    <row r="5694" ht="22.5" customHeight="1">
      <c r="F5694" s="14"/>
    </row>
    <row r="5695" ht="22.5" customHeight="1">
      <c r="F5695" s="14"/>
    </row>
    <row r="5696" ht="22.5" customHeight="1">
      <c r="F5696" s="14"/>
    </row>
    <row r="5697" ht="22.5" customHeight="1">
      <c r="F5697" s="14"/>
    </row>
    <row r="5698" ht="22.5" customHeight="1">
      <c r="F5698" s="14"/>
    </row>
    <row r="5699" ht="22.5" customHeight="1">
      <c r="F5699" s="14"/>
    </row>
    <row r="5700" ht="22.5" customHeight="1">
      <c r="F5700" s="14"/>
    </row>
    <row r="5701" ht="22.5" customHeight="1">
      <c r="F5701" s="14"/>
    </row>
    <row r="5702" ht="22.5" customHeight="1">
      <c r="F5702" s="14"/>
    </row>
    <row r="5703" ht="22.5" customHeight="1">
      <c r="F5703" s="14"/>
    </row>
    <row r="5704" ht="22.5" customHeight="1">
      <c r="F5704" s="14"/>
    </row>
    <row r="5705" ht="22.5" customHeight="1">
      <c r="F5705" s="14"/>
    </row>
    <row r="5706" ht="22.5" customHeight="1">
      <c r="F5706" s="14"/>
    </row>
    <row r="5707" ht="22.5" customHeight="1">
      <c r="F5707" s="14"/>
    </row>
    <row r="5708" ht="22.5" customHeight="1">
      <c r="F5708" s="14"/>
    </row>
    <row r="5709" ht="22.5" customHeight="1">
      <c r="F5709" s="14"/>
    </row>
    <row r="5710" ht="22.5" customHeight="1">
      <c r="F5710" s="14"/>
    </row>
    <row r="5711" ht="22.5" customHeight="1">
      <c r="F5711" s="14"/>
    </row>
    <row r="5712" ht="22.5" customHeight="1">
      <c r="F5712" s="14"/>
    </row>
    <row r="5713" ht="22.5" customHeight="1">
      <c r="F5713" s="14"/>
    </row>
    <row r="5714" ht="22.5" customHeight="1">
      <c r="F5714" s="14"/>
    </row>
    <row r="5715" ht="22.5" customHeight="1">
      <c r="F5715" s="14"/>
    </row>
    <row r="5716" ht="22.5" customHeight="1">
      <c r="F5716" s="14"/>
    </row>
    <row r="5717" ht="22.5" customHeight="1">
      <c r="F5717" s="14"/>
    </row>
    <row r="5718" ht="22.5" customHeight="1">
      <c r="F5718" s="14"/>
    </row>
    <row r="5719" ht="22.5" customHeight="1">
      <c r="F5719" s="14"/>
    </row>
    <row r="5720" ht="22.5" customHeight="1">
      <c r="F5720" s="14"/>
    </row>
    <row r="5721" ht="22.5" customHeight="1">
      <c r="F5721" s="14"/>
    </row>
    <row r="5722" ht="22.5" customHeight="1">
      <c r="F5722" s="14"/>
    </row>
    <row r="5723" ht="22.5" customHeight="1">
      <c r="F5723" s="14"/>
    </row>
    <row r="5724" ht="22.5" customHeight="1">
      <c r="F5724" s="14"/>
    </row>
    <row r="5725" ht="22.5" customHeight="1">
      <c r="F5725" s="14"/>
    </row>
    <row r="5726" ht="22.5" customHeight="1">
      <c r="F5726" s="14"/>
    </row>
    <row r="5727" ht="22.5" customHeight="1">
      <c r="F5727" s="14"/>
    </row>
    <row r="5728" ht="22.5" customHeight="1">
      <c r="F5728" s="14"/>
    </row>
    <row r="5729" ht="22.5" customHeight="1">
      <c r="F5729" s="14"/>
    </row>
    <row r="5730" ht="22.5" customHeight="1">
      <c r="F5730" s="14"/>
    </row>
    <row r="5731" ht="22.5" customHeight="1">
      <c r="F5731" s="14"/>
    </row>
    <row r="5732" ht="22.5" customHeight="1">
      <c r="F5732" s="14"/>
    </row>
    <row r="5733" ht="22.5" customHeight="1">
      <c r="F5733" s="14"/>
    </row>
    <row r="5734" ht="22.5" customHeight="1">
      <c r="F5734" s="14"/>
    </row>
    <row r="5735" ht="22.5" customHeight="1">
      <c r="F5735" s="14"/>
    </row>
    <row r="5736" ht="22.5" customHeight="1">
      <c r="F5736" s="14"/>
    </row>
    <row r="5737" ht="22.5" customHeight="1">
      <c r="F5737" s="14"/>
    </row>
    <row r="5738" ht="22.5" customHeight="1">
      <c r="F5738" s="14"/>
    </row>
    <row r="5739" ht="22.5" customHeight="1">
      <c r="F5739" s="14"/>
    </row>
    <row r="5740" ht="22.5" customHeight="1">
      <c r="F5740" s="14"/>
    </row>
    <row r="5741" ht="22.5" customHeight="1">
      <c r="F5741" s="14"/>
    </row>
    <row r="5742" ht="22.5" customHeight="1">
      <c r="F5742" s="14"/>
    </row>
    <row r="5743" ht="22.5" customHeight="1">
      <c r="F5743" s="14"/>
    </row>
    <row r="5744" ht="22.5" customHeight="1">
      <c r="F5744" s="14"/>
    </row>
    <row r="5745" ht="22.5" customHeight="1">
      <c r="F5745" s="14"/>
    </row>
    <row r="5746" ht="22.5" customHeight="1">
      <c r="F5746" s="14"/>
    </row>
    <row r="5747" ht="22.5" customHeight="1">
      <c r="F5747" s="14"/>
    </row>
    <row r="5748" ht="22.5" customHeight="1">
      <c r="F5748" s="14"/>
    </row>
    <row r="5749" ht="22.5" customHeight="1">
      <c r="F5749" s="14"/>
    </row>
    <row r="5750" ht="22.5" customHeight="1">
      <c r="F5750" s="14"/>
    </row>
    <row r="5751" ht="22.5" customHeight="1">
      <c r="F5751" s="14"/>
    </row>
    <row r="5752" ht="22.5" customHeight="1">
      <c r="F5752" s="14"/>
    </row>
    <row r="5753" ht="22.5" customHeight="1">
      <c r="F5753" s="14"/>
    </row>
    <row r="5754" ht="22.5" customHeight="1">
      <c r="F5754" s="14"/>
    </row>
    <row r="5755" ht="22.5" customHeight="1">
      <c r="F5755" s="14"/>
    </row>
    <row r="5756" ht="22.5" customHeight="1">
      <c r="F5756" s="14"/>
    </row>
    <row r="5757" ht="22.5" customHeight="1">
      <c r="F5757" s="14"/>
    </row>
    <row r="5758" ht="22.5" customHeight="1">
      <c r="F5758" s="14"/>
    </row>
    <row r="5759" ht="22.5" customHeight="1">
      <c r="F5759" s="14"/>
    </row>
    <row r="5760" ht="22.5" customHeight="1">
      <c r="F5760" s="14"/>
    </row>
    <row r="5761" ht="22.5" customHeight="1">
      <c r="F5761" s="14"/>
    </row>
    <row r="5762" ht="22.5" customHeight="1">
      <c r="F5762" s="14"/>
    </row>
    <row r="5763" ht="22.5" customHeight="1">
      <c r="F5763" s="14"/>
    </row>
    <row r="5764" ht="22.5" customHeight="1">
      <c r="F5764" s="14"/>
    </row>
    <row r="5765" ht="22.5" customHeight="1">
      <c r="F5765" s="14"/>
    </row>
    <row r="5766" ht="22.5" customHeight="1">
      <c r="F5766" s="14"/>
    </row>
    <row r="5767" ht="22.5" customHeight="1">
      <c r="F5767" s="14"/>
    </row>
    <row r="5768" ht="22.5" customHeight="1">
      <c r="F5768" s="14"/>
    </row>
    <row r="5769" ht="22.5" customHeight="1">
      <c r="F5769" s="14"/>
    </row>
    <row r="5770" ht="22.5" customHeight="1">
      <c r="F5770" s="14"/>
    </row>
    <row r="5771" ht="22.5" customHeight="1">
      <c r="F5771" s="14"/>
    </row>
    <row r="5772" ht="22.5" customHeight="1">
      <c r="F5772" s="14"/>
    </row>
    <row r="5773" ht="22.5" customHeight="1">
      <c r="F5773" s="14"/>
    </row>
    <row r="5774" ht="22.5" customHeight="1">
      <c r="F5774" s="14"/>
    </row>
    <row r="5775" ht="22.5" customHeight="1">
      <c r="F5775" s="14"/>
    </row>
    <row r="5776" ht="22.5" customHeight="1">
      <c r="F5776" s="14"/>
    </row>
    <row r="5777" ht="22.5" customHeight="1">
      <c r="F5777" s="14"/>
    </row>
    <row r="5778" ht="22.5" customHeight="1">
      <c r="F5778" s="14"/>
    </row>
    <row r="5779" ht="22.5" customHeight="1">
      <c r="F5779" s="14"/>
    </row>
    <row r="5780" ht="22.5" customHeight="1">
      <c r="F5780" s="14"/>
    </row>
    <row r="5781" ht="22.5" customHeight="1">
      <c r="F5781" s="14"/>
    </row>
    <row r="5782" ht="22.5" customHeight="1">
      <c r="F5782" s="14"/>
    </row>
    <row r="5783" ht="22.5" customHeight="1">
      <c r="F5783" s="14"/>
    </row>
    <row r="5784" ht="22.5" customHeight="1">
      <c r="F5784" s="14"/>
    </row>
    <row r="5785" ht="22.5" customHeight="1">
      <c r="F5785" s="14"/>
    </row>
    <row r="5786" ht="22.5" customHeight="1">
      <c r="F5786" s="14"/>
    </row>
    <row r="5787" ht="22.5" customHeight="1">
      <c r="F5787" s="14"/>
    </row>
    <row r="5788" ht="22.5" customHeight="1">
      <c r="F5788" s="14"/>
    </row>
    <row r="5789" ht="22.5" customHeight="1">
      <c r="F5789" s="14"/>
    </row>
    <row r="5790" ht="22.5" customHeight="1">
      <c r="F5790" s="14"/>
    </row>
    <row r="5791" ht="22.5" customHeight="1">
      <c r="F5791" s="14"/>
    </row>
    <row r="5792" ht="22.5" customHeight="1">
      <c r="F5792" s="14"/>
    </row>
    <row r="5793" ht="22.5" customHeight="1">
      <c r="F5793" s="14"/>
    </row>
    <row r="5794" ht="22.5" customHeight="1">
      <c r="F5794" s="14"/>
    </row>
    <row r="5795" ht="22.5" customHeight="1">
      <c r="F5795" s="14"/>
    </row>
    <row r="5796" ht="22.5" customHeight="1">
      <c r="F5796" s="14"/>
    </row>
    <row r="5797" ht="22.5" customHeight="1">
      <c r="F5797" s="14"/>
    </row>
    <row r="5798" ht="22.5" customHeight="1">
      <c r="F5798" s="14"/>
    </row>
    <row r="5799" ht="22.5" customHeight="1">
      <c r="F5799" s="14"/>
    </row>
    <row r="5800" ht="22.5" customHeight="1">
      <c r="F5800" s="14"/>
    </row>
    <row r="5801" ht="22.5" customHeight="1">
      <c r="F5801" s="14"/>
    </row>
    <row r="5802" ht="22.5" customHeight="1">
      <c r="F5802" s="14"/>
    </row>
    <row r="5803" ht="22.5" customHeight="1">
      <c r="F5803" s="14"/>
    </row>
    <row r="5804" ht="22.5" customHeight="1">
      <c r="F5804" s="14"/>
    </row>
    <row r="5805" ht="22.5" customHeight="1">
      <c r="F5805" s="14"/>
    </row>
    <row r="5806" ht="22.5" customHeight="1">
      <c r="F5806" s="14"/>
    </row>
    <row r="5807" ht="22.5" customHeight="1">
      <c r="F5807" s="14"/>
    </row>
    <row r="5808" ht="22.5" customHeight="1">
      <c r="F5808" s="14"/>
    </row>
    <row r="5809" ht="22.5" customHeight="1">
      <c r="F5809" s="14"/>
    </row>
    <row r="5810" ht="22.5" customHeight="1">
      <c r="F5810" s="14"/>
    </row>
    <row r="5811" ht="22.5" customHeight="1">
      <c r="F5811" s="14"/>
    </row>
    <row r="5812" ht="22.5" customHeight="1">
      <c r="F5812" s="14"/>
    </row>
    <row r="5813" ht="22.5" customHeight="1">
      <c r="F5813" s="14"/>
    </row>
    <row r="5814" ht="22.5" customHeight="1">
      <c r="F5814" s="14"/>
    </row>
    <row r="5815" ht="22.5" customHeight="1">
      <c r="F5815" s="14"/>
    </row>
    <row r="5816" ht="22.5" customHeight="1">
      <c r="F5816" s="14"/>
    </row>
    <row r="5817" ht="22.5" customHeight="1">
      <c r="F5817" s="14"/>
    </row>
    <row r="5818" ht="22.5" customHeight="1">
      <c r="F5818" s="14"/>
    </row>
    <row r="5819" ht="22.5" customHeight="1">
      <c r="F5819" s="14"/>
    </row>
    <row r="5820" ht="22.5" customHeight="1">
      <c r="F5820" s="14"/>
    </row>
    <row r="5821" ht="22.5" customHeight="1">
      <c r="F5821" s="14"/>
    </row>
    <row r="5822" ht="22.5" customHeight="1">
      <c r="F5822" s="14"/>
    </row>
    <row r="5823" ht="22.5" customHeight="1">
      <c r="F5823" s="14"/>
    </row>
    <row r="5824" ht="22.5" customHeight="1">
      <c r="F5824" s="14"/>
    </row>
    <row r="5825" ht="22.5" customHeight="1">
      <c r="F5825" s="14"/>
    </row>
    <row r="5826" ht="22.5" customHeight="1">
      <c r="F5826" s="14"/>
    </row>
    <row r="5827" ht="22.5" customHeight="1">
      <c r="F5827" s="14"/>
    </row>
    <row r="5828" ht="22.5" customHeight="1">
      <c r="F5828" s="14"/>
    </row>
    <row r="5829" ht="22.5" customHeight="1">
      <c r="F5829" s="14"/>
    </row>
    <row r="5830" ht="22.5" customHeight="1">
      <c r="F5830" s="14"/>
    </row>
    <row r="5831" ht="22.5" customHeight="1">
      <c r="F5831" s="14"/>
    </row>
    <row r="5832" ht="22.5" customHeight="1">
      <c r="F5832" s="14"/>
    </row>
    <row r="5833" ht="22.5" customHeight="1">
      <c r="F5833" s="14"/>
    </row>
    <row r="5834" ht="22.5" customHeight="1">
      <c r="F5834" s="14"/>
    </row>
    <row r="5835" ht="22.5" customHeight="1">
      <c r="F5835" s="14"/>
    </row>
    <row r="5836" ht="22.5" customHeight="1">
      <c r="F5836" s="14"/>
    </row>
    <row r="5837" ht="22.5" customHeight="1">
      <c r="F5837" s="14"/>
    </row>
    <row r="5838" ht="22.5" customHeight="1">
      <c r="F5838" s="14"/>
    </row>
    <row r="5839" ht="22.5" customHeight="1">
      <c r="F5839" s="14"/>
    </row>
    <row r="5840" ht="22.5" customHeight="1">
      <c r="F5840" s="14"/>
    </row>
    <row r="5841" ht="22.5" customHeight="1">
      <c r="F5841" s="14"/>
    </row>
    <row r="5842" ht="22.5" customHeight="1">
      <c r="F5842" s="14"/>
    </row>
    <row r="5843" ht="22.5" customHeight="1">
      <c r="F5843" s="14"/>
    </row>
    <row r="5844" ht="22.5" customHeight="1">
      <c r="F5844" s="14"/>
    </row>
    <row r="5845" ht="22.5" customHeight="1">
      <c r="F5845" s="14"/>
    </row>
    <row r="5846" ht="22.5" customHeight="1">
      <c r="F5846" s="14"/>
    </row>
    <row r="5847" ht="22.5" customHeight="1">
      <c r="F5847" s="14"/>
    </row>
    <row r="5848" ht="22.5" customHeight="1">
      <c r="F5848" s="14"/>
    </row>
    <row r="5849" ht="22.5" customHeight="1">
      <c r="F5849" s="14"/>
    </row>
    <row r="5850" ht="22.5" customHeight="1">
      <c r="F5850" s="14"/>
    </row>
    <row r="5851" ht="22.5" customHeight="1">
      <c r="F5851" s="14"/>
    </row>
    <row r="5852" ht="22.5" customHeight="1">
      <c r="F5852" s="14"/>
    </row>
    <row r="5853" ht="22.5" customHeight="1">
      <c r="F5853" s="14"/>
    </row>
    <row r="5854" ht="22.5" customHeight="1">
      <c r="F5854" s="14"/>
    </row>
    <row r="5855" ht="22.5" customHeight="1">
      <c r="F5855" s="14"/>
    </row>
    <row r="5856" ht="22.5" customHeight="1">
      <c r="F5856" s="14"/>
    </row>
    <row r="5857" ht="22.5" customHeight="1">
      <c r="F5857" s="14"/>
    </row>
    <row r="5858" ht="22.5" customHeight="1">
      <c r="F5858" s="14"/>
    </row>
    <row r="5859" ht="22.5" customHeight="1">
      <c r="F5859" s="14"/>
    </row>
    <row r="5860" ht="22.5" customHeight="1">
      <c r="F5860" s="14"/>
    </row>
    <row r="5861" ht="22.5" customHeight="1">
      <c r="F5861" s="14"/>
    </row>
    <row r="5862" ht="22.5" customHeight="1">
      <c r="F5862" s="14"/>
    </row>
    <row r="5863" ht="22.5" customHeight="1">
      <c r="F5863" s="14"/>
    </row>
    <row r="5864" ht="22.5" customHeight="1">
      <c r="F5864" s="14"/>
    </row>
    <row r="5865" ht="22.5" customHeight="1">
      <c r="F5865" s="14"/>
    </row>
    <row r="5866" ht="22.5" customHeight="1">
      <c r="F5866" s="14"/>
    </row>
    <row r="5867" ht="22.5" customHeight="1">
      <c r="F5867" s="14"/>
    </row>
    <row r="5868" ht="22.5" customHeight="1">
      <c r="F5868" s="14"/>
    </row>
    <row r="5869" ht="22.5" customHeight="1">
      <c r="F5869" s="14"/>
    </row>
    <row r="5870" ht="22.5" customHeight="1">
      <c r="F5870" s="14"/>
    </row>
    <row r="5871" ht="22.5" customHeight="1">
      <c r="F5871" s="14"/>
    </row>
    <row r="5872" ht="22.5" customHeight="1">
      <c r="F5872" s="14"/>
    </row>
    <row r="5873" ht="22.5" customHeight="1">
      <c r="F5873" s="14"/>
    </row>
    <row r="5874" ht="22.5" customHeight="1">
      <c r="F5874" s="14"/>
    </row>
    <row r="5875" ht="22.5" customHeight="1">
      <c r="F5875" s="14"/>
    </row>
    <row r="5876" ht="22.5" customHeight="1">
      <c r="F5876" s="14"/>
    </row>
    <row r="5877" ht="22.5" customHeight="1">
      <c r="F5877" s="14"/>
    </row>
    <row r="5878" ht="22.5" customHeight="1">
      <c r="F5878" s="14"/>
    </row>
    <row r="5879" ht="22.5" customHeight="1">
      <c r="F5879" s="14"/>
    </row>
    <row r="5880" ht="22.5" customHeight="1">
      <c r="F5880" s="14"/>
    </row>
    <row r="5881" ht="22.5" customHeight="1">
      <c r="F5881" s="14"/>
    </row>
    <row r="5882" ht="22.5" customHeight="1">
      <c r="F5882" s="14"/>
    </row>
    <row r="5883" ht="22.5" customHeight="1">
      <c r="F5883" s="14"/>
    </row>
    <row r="5884" ht="22.5" customHeight="1">
      <c r="F5884" s="14"/>
    </row>
    <row r="5885" ht="22.5" customHeight="1">
      <c r="F5885" s="14"/>
    </row>
    <row r="5886" ht="22.5" customHeight="1">
      <c r="F5886" s="14"/>
    </row>
    <row r="5887" ht="22.5" customHeight="1">
      <c r="F5887" s="14"/>
    </row>
    <row r="5888" ht="22.5" customHeight="1">
      <c r="F5888" s="14"/>
    </row>
    <row r="5889" ht="22.5" customHeight="1">
      <c r="F5889" s="14"/>
    </row>
    <row r="5890" ht="22.5" customHeight="1">
      <c r="F5890" s="14"/>
    </row>
    <row r="5891" ht="22.5" customHeight="1">
      <c r="F5891" s="14"/>
    </row>
    <row r="5892" ht="22.5" customHeight="1">
      <c r="F5892" s="14"/>
    </row>
    <row r="5893" ht="22.5" customHeight="1">
      <c r="F5893" s="14"/>
    </row>
    <row r="5894" ht="22.5" customHeight="1">
      <c r="F5894" s="14"/>
    </row>
    <row r="5895" ht="22.5" customHeight="1">
      <c r="F5895" s="14"/>
    </row>
    <row r="5896" ht="22.5" customHeight="1">
      <c r="F5896" s="14"/>
    </row>
    <row r="5897" ht="22.5" customHeight="1">
      <c r="F5897" s="14"/>
    </row>
    <row r="5898" ht="22.5" customHeight="1">
      <c r="F5898" s="14"/>
    </row>
    <row r="5899" ht="22.5" customHeight="1">
      <c r="F5899" s="14"/>
    </row>
    <row r="5900" ht="22.5" customHeight="1">
      <c r="F5900" s="14"/>
    </row>
    <row r="5901" ht="22.5" customHeight="1">
      <c r="F5901" s="14"/>
    </row>
    <row r="5902" ht="22.5" customHeight="1">
      <c r="F5902" s="14"/>
    </row>
    <row r="5903" ht="22.5" customHeight="1">
      <c r="F5903" s="14"/>
    </row>
    <row r="5904" ht="22.5" customHeight="1">
      <c r="F5904" s="14"/>
    </row>
    <row r="5905" ht="22.5" customHeight="1">
      <c r="F5905" s="14"/>
    </row>
    <row r="5906" ht="22.5" customHeight="1">
      <c r="F5906" s="14"/>
    </row>
    <row r="5907" ht="22.5" customHeight="1">
      <c r="F5907" s="14"/>
    </row>
    <row r="5908" ht="22.5" customHeight="1">
      <c r="F5908" s="14"/>
    </row>
    <row r="5909" ht="22.5" customHeight="1">
      <c r="F5909" s="14"/>
    </row>
    <row r="5910" ht="22.5" customHeight="1">
      <c r="F5910" s="14"/>
    </row>
    <row r="5911" ht="22.5" customHeight="1">
      <c r="F5911" s="14"/>
    </row>
    <row r="5912" ht="22.5" customHeight="1">
      <c r="F5912" s="14"/>
    </row>
    <row r="5913" ht="22.5" customHeight="1">
      <c r="F5913" s="14"/>
    </row>
    <row r="5914" ht="22.5" customHeight="1">
      <c r="F5914" s="14"/>
    </row>
    <row r="5915" ht="22.5" customHeight="1">
      <c r="F5915" s="14"/>
    </row>
    <row r="5916" ht="22.5" customHeight="1">
      <c r="F5916" s="14"/>
    </row>
    <row r="5917" ht="22.5" customHeight="1">
      <c r="F5917" s="14"/>
    </row>
    <row r="5918" ht="22.5" customHeight="1">
      <c r="F5918" s="14"/>
    </row>
    <row r="5919" ht="22.5" customHeight="1">
      <c r="F5919" s="14"/>
    </row>
    <row r="5920" ht="22.5" customHeight="1">
      <c r="F5920" s="14"/>
    </row>
    <row r="5921" ht="22.5" customHeight="1">
      <c r="F5921" s="14"/>
    </row>
    <row r="5922" ht="22.5" customHeight="1">
      <c r="F5922" s="14"/>
    </row>
    <row r="5923" ht="22.5" customHeight="1">
      <c r="F5923" s="14"/>
    </row>
    <row r="5924" ht="22.5" customHeight="1">
      <c r="F5924" s="14"/>
    </row>
    <row r="5925" ht="22.5" customHeight="1">
      <c r="F5925" s="14"/>
    </row>
    <row r="5926" ht="22.5" customHeight="1">
      <c r="F5926" s="14"/>
    </row>
    <row r="5927" ht="22.5" customHeight="1">
      <c r="F5927" s="14"/>
    </row>
    <row r="5928" ht="22.5" customHeight="1">
      <c r="F5928" s="14"/>
    </row>
    <row r="5929" ht="22.5" customHeight="1">
      <c r="F5929" s="14"/>
    </row>
    <row r="5930" ht="22.5" customHeight="1">
      <c r="F5930" s="14"/>
    </row>
    <row r="5931" ht="22.5" customHeight="1">
      <c r="F5931" s="14"/>
    </row>
    <row r="5932" ht="22.5" customHeight="1">
      <c r="F5932" s="14"/>
    </row>
    <row r="5933" ht="22.5" customHeight="1">
      <c r="F5933" s="14"/>
    </row>
    <row r="5934" ht="22.5" customHeight="1">
      <c r="F5934" s="14"/>
    </row>
    <row r="5935" ht="22.5" customHeight="1">
      <c r="F5935" s="14"/>
    </row>
    <row r="5936" ht="22.5" customHeight="1">
      <c r="F5936" s="14"/>
    </row>
    <row r="5937" ht="22.5" customHeight="1">
      <c r="F5937" s="14"/>
    </row>
    <row r="5938" ht="22.5" customHeight="1">
      <c r="F5938" s="14"/>
    </row>
    <row r="5939" ht="22.5" customHeight="1">
      <c r="F5939" s="14"/>
    </row>
    <row r="5940" ht="22.5" customHeight="1">
      <c r="F5940" s="14"/>
    </row>
    <row r="5941" ht="22.5" customHeight="1">
      <c r="F5941" s="14"/>
    </row>
    <row r="5942" ht="22.5" customHeight="1">
      <c r="F5942" s="14"/>
    </row>
    <row r="5943" ht="22.5" customHeight="1">
      <c r="F5943" s="14"/>
    </row>
    <row r="5944" ht="22.5" customHeight="1">
      <c r="F5944" s="14"/>
    </row>
    <row r="5945" ht="22.5" customHeight="1">
      <c r="F5945" s="14"/>
    </row>
    <row r="5946" ht="22.5" customHeight="1">
      <c r="F5946" s="14"/>
    </row>
    <row r="5947" ht="22.5" customHeight="1">
      <c r="F5947" s="14"/>
    </row>
    <row r="5948" ht="22.5" customHeight="1">
      <c r="F5948" s="14"/>
    </row>
    <row r="5949" ht="22.5" customHeight="1">
      <c r="F5949" s="14"/>
    </row>
    <row r="5950" ht="22.5" customHeight="1">
      <c r="F5950" s="14"/>
    </row>
    <row r="5951" ht="22.5" customHeight="1">
      <c r="F5951" s="14"/>
    </row>
    <row r="5952" ht="22.5" customHeight="1">
      <c r="F5952" s="14"/>
    </row>
    <row r="5953" ht="22.5" customHeight="1">
      <c r="F5953" s="14"/>
    </row>
    <row r="5954" ht="22.5" customHeight="1">
      <c r="F5954" s="14"/>
    </row>
    <row r="5955" ht="22.5" customHeight="1">
      <c r="F5955" s="14"/>
    </row>
    <row r="5956" ht="22.5" customHeight="1">
      <c r="F5956" s="14"/>
    </row>
    <row r="5957" ht="22.5" customHeight="1">
      <c r="F5957" s="14"/>
    </row>
    <row r="5958" ht="22.5" customHeight="1">
      <c r="F5958" s="14"/>
    </row>
    <row r="5959" ht="22.5" customHeight="1">
      <c r="F5959" s="14"/>
    </row>
    <row r="5960" ht="22.5" customHeight="1">
      <c r="F5960" s="14"/>
    </row>
    <row r="5961" ht="22.5" customHeight="1">
      <c r="F5961" s="14"/>
    </row>
    <row r="5962" ht="22.5" customHeight="1">
      <c r="F5962" s="14"/>
    </row>
    <row r="5963" ht="22.5" customHeight="1">
      <c r="F5963" s="14"/>
    </row>
    <row r="5964" ht="22.5" customHeight="1">
      <c r="F5964" s="14"/>
    </row>
    <row r="5965" ht="22.5" customHeight="1">
      <c r="F5965" s="14"/>
    </row>
    <row r="5966" ht="22.5" customHeight="1">
      <c r="F5966" s="14"/>
    </row>
    <row r="5967" ht="22.5" customHeight="1">
      <c r="F5967" s="14"/>
    </row>
    <row r="5968" ht="22.5" customHeight="1">
      <c r="F5968" s="14"/>
    </row>
    <row r="5969" ht="22.5" customHeight="1">
      <c r="F5969" s="14"/>
    </row>
    <row r="5970" ht="22.5" customHeight="1">
      <c r="F5970" s="14"/>
    </row>
    <row r="5971" ht="22.5" customHeight="1">
      <c r="F5971" s="14"/>
    </row>
    <row r="5972" ht="22.5" customHeight="1">
      <c r="F5972" s="14"/>
    </row>
    <row r="5973" ht="22.5" customHeight="1">
      <c r="F5973" s="14"/>
    </row>
    <row r="5974" ht="22.5" customHeight="1">
      <c r="F5974" s="14"/>
    </row>
    <row r="5975" ht="22.5" customHeight="1">
      <c r="F5975" s="14"/>
    </row>
    <row r="5976" ht="22.5" customHeight="1">
      <c r="F5976" s="14"/>
    </row>
    <row r="5977" ht="22.5" customHeight="1">
      <c r="F5977" s="14"/>
    </row>
    <row r="5978" ht="22.5" customHeight="1">
      <c r="F5978" s="14"/>
    </row>
    <row r="5979" ht="22.5" customHeight="1">
      <c r="F5979" s="14"/>
    </row>
    <row r="5980" ht="22.5" customHeight="1">
      <c r="F5980" s="14"/>
    </row>
    <row r="5981" ht="22.5" customHeight="1">
      <c r="F5981" s="14"/>
    </row>
    <row r="5982" ht="22.5" customHeight="1">
      <c r="F5982" s="14"/>
    </row>
    <row r="5983" ht="22.5" customHeight="1">
      <c r="F5983" s="14"/>
    </row>
    <row r="5984" ht="22.5" customHeight="1">
      <c r="F5984" s="14"/>
    </row>
    <row r="5985" ht="22.5" customHeight="1">
      <c r="F5985" s="14"/>
    </row>
    <row r="5986" ht="22.5" customHeight="1">
      <c r="F5986" s="14"/>
    </row>
    <row r="5987" ht="22.5" customHeight="1">
      <c r="F5987" s="14"/>
    </row>
    <row r="5988" ht="22.5" customHeight="1">
      <c r="F5988" s="14"/>
    </row>
    <row r="5989" ht="22.5" customHeight="1">
      <c r="F5989" s="14"/>
    </row>
    <row r="5990" ht="22.5" customHeight="1">
      <c r="F5990" s="14"/>
    </row>
    <row r="5991" ht="22.5" customHeight="1">
      <c r="F5991" s="14"/>
    </row>
    <row r="5992" ht="22.5" customHeight="1">
      <c r="F5992" s="14"/>
    </row>
    <row r="5993" ht="22.5" customHeight="1">
      <c r="F5993" s="14"/>
    </row>
    <row r="5994" ht="22.5" customHeight="1">
      <c r="F5994" s="14"/>
    </row>
    <row r="5995" ht="22.5" customHeight="1">
      <c r="F5995" s="14"/>
    </row>
    <row r="5996" ht="22.5" customHeight="1">
      <c r="F5996" s="14"/>
    </row>
    <row r="5997" ht="22.5" customHeight="1">
      <c r="F5997" s="14"/>
    </row>
    <row r="5998" ht="22.5" customHeight="1">
      <c r="F5998" s="14"/>
    </row>
    <row r="5999" ht="22.5" customHeight="1">
      <c r="F5999" s="14"/>
    </row>
    <row r="6000" ht="22.5" customHeight="1">
      <c r="F6000" s="14"/>
    </row>
    <row r="6001" ht="22.5" customHeight="1">
      <c r="F6001" s="14"/>
    </row>
    <row r="6002" ht="22.5" customHeight="1">
      <c r="F6002" s="14"/>
    </row>
    <row r="6003" ht="22.5" customHeight="1">
      <c r="F6003" s="14"/>
    </row>
    <row r="6004" ht="22.5" customHeight="1">
      <c r="F6004" s="14"/>
    </row>
    <row r="6005" ht="22.5" customHeight="1">
      <c r="F6005" s="14"/>
    </row>
    <row r="6006" ht="22.5" customHeight="1">
      <c r="F6006" s="14"/>
    </row>
    <row r="6007" ht="22.5" customHeight="1">
      <c r="F6007" s="14"/>
    </row>
    <row r="6008" ht="22.5" customHeight="1">
      <c r="F6008" s="14"/>
    </row>
    <row r="6009" ht="22.5" customHeight="1">
      <c r="F6009" s="14"/>
    </row>
    <row r="6010" ht="22.5" customHeight="1">
      <c r="F6010" s="14"/>
    </row>
    <row r="6011" ht="22.5" customHeight="1">
      <c r="F6011" s="14"/>
    </row>
    <row r="6012" ht="22.5" customHeight="1">
      <c r="F6012" s="14"/>
    </row>
    <row r="6013" ht="22.5" customHeight="1">
      <c r="F6013" s="14"/>
    </row>
    <row r="6014" ht="22.5" customHeight="1">
      <c r="F6014" s="14"/>
    </row>
    <row r="6015" ht="22.5" customHeight="1">
      <c r="F6015" s="14"/>
    </row>
    <row r="6016" ht="22.5" customHeight="1">
      <c r="F6016" s="14"/>
    </row>
    <row r="6017" ht="22.5" customHeight="1">
      <c r="F6017" s="14"/>
    </row>
    <row r="6018" ht="22.5" customHeight="1">
      <c r="F6018" s="14"/>
    </row>
    <row r="6019" ht="22.5" customHeight="1">
      <c r="F6019" s="14"/>
    </row>
    <row r="6020" ht="22.5" customHeight="1">
      <c r="F6020" s="14"/>
    </row>
    <row r="6021" ht="22.5" customHeight="1">
      <c r="F6021" s="14"/>
    </row>
    <row r="6022" ht="22.5" customHeight="1">
      <c r="F6022" s="14"/>
    </row>
    <row r="6023" ht="22.5" customHeight="1">
      <c r="F6023" s="14"/>
    </row>
    <row r="6024" ht="22.5" customHeight="1">
      <c r="F6024" s="14"/>
    </row>
    <row r="6025" ht="22.5" customHeight="1">
      <c r="F6025" s="14"/>
    </row>
    <row r="6026" ht="22.5" customHeight="1">
      <c r="F6026" s="14"/>
    </row>
    <row r="6027" ht="22.5" customHeight="1">
      <c r="F6027" s="14"/>
    </row>
    <row r="6028" ht="22.5" customHeight="1">
      <c r="F6028" s="14"/>
    </row>
    <row r="6029" ht="22.5" customHeight="1">
      <c r="F6029" s="14"/>
    </row>
    <row r="6030" ht="22.5" customHeight="1">
      <c r="F6030" s="14"/>
    </row>
    <row r="6031" ht="22.5" customHeight="1">
      <c r="F6031" s="14"/>
    </row>
    <row r="6032" ht="22.5" customHeight="1">
      <c r="F6032" s="14"/>
    </row>
    <row r="6033" ht="22.5" customHeight="1">
      <c r="F6033" s="14"/>
    </row>
    <row r="6034" ht="22.5" customHeight="1">
      <c r="F6034" s="14"/>
    </row>
    <row r="6035" ht="22.5" customHeight="1">
      <c r="F6035" s="14"/>
    </row>
    <row r="6036" ht="22.5" customHeight="1">
      <c r="F6036" s="14"/>
    </row>
    <row r="6037" ht="22.5" customHeight="1">
      <c r="F6037" s="14"/>
    </row>
    <row r="6038" ht="22.5" customHeight="1">
      <c r="F6038" s="14"/>
    </row>
    <row r="6039" ht="22.5" customHeight="1">
      <c r="F6039" s="14"/>
    </row>
    <row r="6040" ht="22.5" customHeight="1">
      <c r="F6040" s="14"/>
    </row>
    <row r="6041" ht="22.5" customHeight="1">
      <c r="F6041" s="14"/>
    </row>
    <row r="6042" ht="22.5" customHeight="1">
      <c r="F6042" s="14"/>
    </row>
    <row r="6043" ht="22.5" customHeight="1">
      <c r="F6043" s="14"/>
    </row>
    <row r="6044" ht="22.5" customHeight="1">
      <c r="F6044" s="14"/>
    </row>
    <row r="6045" ht="22.5" customHeight="1">
      <c r="F6045" s="14"/>
    </row>
    <row r="6046" ht="22.5" customHeight="1">
      <c r="F6046" s="14"/>
    </row>
    <row r="6047" ht="22.5" customHeight="1">
      <c r="F6047" s="14"/>
    </row>
    <row r="6048" ht="22.5" customHeight="1">
      <c r="F6048" s="14"/>
    </row>
    <row r="6049" ht="22.5" customHeight="1">
      <c r="F6049" s="14"/>
    </row>
    <row r="6050" ht="22.5" customHeight="1">
      <c r="F6050" s="14"/>
    </row>
    <row r="6051" ht="22.5" customHeight="1">
      <c r="F6051" s="14"/>
    </row>
    <row r="6052" ht="22.5" customHeight="1">
      <c r="F6052" s="14"/>
    </row>
    <row r="6053" ht="22.5" customHeight="1">
      <c r="F6053" s="14"/>
    </row>
    <row r="6054" ht="22.5" customHeight="1">
      <c r="F6054" s="14"/>
    </row>
    <row r="6055" ht="22.5" customHeight="1">
      <c r="F6055" s="14"/>
    </row>
    <row r="6056" ht="22.5" customHeight="1">
      <c r="F6056" s="14"/>
    </row>
    <row r="6057" ht="22.5" customHeight="1">
      <c r="F6057" s="14"/>
    </row>
    <row r="6058" ht="22.5" customHeight="1">
      <c r="F6058" s="14"/>
    </row>
    <row r="6059" ht="22.5" customHeight="1">
      <c r="F6059" s="14"/>
    </row>
    <row r="6060" ht="22.5" customHeight="1">
      <c r="F6060" s="14"/>
    </row>
    <row r="6061" ht="22.5" customHeight="1">
      <c r="F6061" s="14"/>
    </row>
    <row r="6062" ht="22.5" customHeight="1">
      <c r="F6062" s="14"/>
    </row>
    <row r="6063" ht="22.5" customHeight="1">
      <c r="F6063" s="14"/>
    </row>
    <row r="6064" ht="22.5" customHeight="1">
      <c r="F6064" s="14"/>
    </row>
    <row r="6065" ht="22.5" customHeight="1">
      <c r="F6065" s="14"/>
    </row>
    <row r="6066" ht="22.5" customHeight="1">
      <c r="F6066" s="14"/>
    </row>
    <row r="6067" ht="22.5" customHeight="1">
      <c r="F6067" s="14"/>
    </row>
    <row r="6068" ht="22.5" customHeight="1">
      <c r="F6068" s="14"/>
    </row>
    <row r="6069" ht="22.5" customHeight="1">
      <c r="F6069" s="14"/>
    </row>
    <row r="6070" ht="22.5" customHeight="1">
      <c r="F6070" s="14"/>
    </row>
    <row r="6071" ht="22.5" customHeight="1">
      <c r="F6071" s="14"/>
    </row>
    <row r="6072" ht="22.5" customHeight="1">
      <c r="F6072" s="14"/>
    </row>
    <row r="6073" ht="22.5" customHeight="1">
      <c r="F6073" s="14"/>
    </row>
    <row r="6074" ht="22.5" customHeight="1">
      <c r="F6074" s="14"/>
    </row>
    <row r="6075" ht="22.5" customHeight="1">
      <c r="F6075" s="14"/>
    </row>
    <row r="6076" ht="22.5" customHeight="1">
      <c r="F6076" s="14"/>
    </row>
    <row r="6077" ht="22.5" customHeight="1">
      <c r="F6077" s="14"/>
    </row>
    <row r="6078" ht="22.5" customHeight="1">
      <c r="F6078" s="14"/>
    </row>
    <row r="6079" ht="22.5" customHeight="1">
      <c r="F6079" s="14"/>
    </row>
    <row r="6080" ht="22.5" customHeight="1">
      <c r="F6080" s="14"/>
    </row>
    <row r="6081" ht="22.5" customHeight="1">
      <c r="F6081" s="14"/>
    </row>
    <row r="6082" ht="22.5" customHeight="1">
      <c r="F6082" s="14"/>
    </row>
    <row r="6083" ht="22.5" customHeight="1">
      <c r="F6083" s="14"/>
    </row>
    <row r="6084" ht="22.5" customHeight="1">
      <c r="F6084" s="14"/>
    </row>
    <row r="6085" ht="22.5" customHeight="1">
      <c r="F6085" s="14"/>
    </row>
    <row r="6086" ht="22.5" customHeight="1">
      <c r="F6086" s="14"/>
    </row>
    <row r="6087" ht="22.5" customHeight="1">
      <c r="F6087" s="14"/>
    </row>
    <row r="6088" ht="22.5" customHeight="1">
      <c r="F6088" s="14"/>
    </row>
    <row r="6089" ht="22.5" customHeight="1">
      <c r="F6089" s="14"/>
    </row>
    <row r="6090" ht="22.5" customHeight="1">
      <c r="F6090" s="14"/>
    </row>
    <row r="6091" ht="22.5" customHeight="1">
      <c r="F6091" s="14"/>
    </row>
    <row r="6092" ht="22.5" customHeight="1">
      <c r="F6092" s="14"/>
    </row>
    <row r="6093" ht="22.5" customHeight="1">
      <c r="F6093" s="14"/>
    </row>
    <row r="6094" ht="22.5" customHeight="1">
      <c r="F6094" s="14"/>
    </row>
    <row r="6095" ht="22.5" customHeight="1">
      <c r="F6095" s="14"/>
    </row>
    <row r="6096" ht="22.5" customHeight="1">
      <c r="F6096" s="14"/>
    </row>
    <row r="6097" ht="22.5" customHeight="1">
      <c r="F6097" s="14"/>
    </row>
    <row r="6098" ht="22.5" customHeight="1">
      <c r="F6098" s="14"/>
    </row>
    <row r="6099" ht="22.5" customHeight="1">
      <c r="F6099" s="14"/>
    </row>
    <row r="6100" ht="22.5" customHeight="1">
      <c r="F6100" s="14"/>
    </row>
    <row r="6101" ht="22.5" customHeight="1">
      <c r="F6101" s="14"/>
    </row>
    <row r="6102" ht="22.5" customHeight="1">
      <c r="F6102" s="14"/>
    </row>
    <row r="6103" ht="22.5" customHeight="1">
      <c r="F6103" s="14"/>
    </row>
    <row r="6104" ht="22.5" customHeight="1">
      <c r="F6104" s="14"/>
    </row>
    <row r="6105" ht="22.5" customHeight="1">
      <c r="F6105" s="14"/>
    </row>
    <row r="6106" ht="22.5" customHeight="1">
      <c r="F6106" s="14"/>
    </row>
    <row r="6107" ht="22.5" customHeight="1">
      <c r="F6107" s="14"/>
    </row>
    <row r="6108" ht="22.5" customHeight="1">
      <c r="F6108" s="14"/>
    </row>
    <row r="6109" ht="22.5" customHeight="1">
      <c r="F6109" s="14"/>
    </row>
    <row r="6110" ht="22.5" customHeight="1">
      <c r="F6110" s="14"/>
    </row>
    <row r="6111" ht="22.5" customHeight="1">
      <c r="F6111" s="14"/>
    </row>
    <row r="6112" ht="22.5" customHeight="1">
      <c r="F6112" s="14"/>
    </row>
    <row r="6113" ht="22.5" customHeight="1">
      <c r="F6113" s="14"/>
    </row>
    <row r="6114" ht="22.5" customHeight="1">
      <c r="F6114" s="14"/>
    </row>
    <row r="6115" ht="22.5" customHeight="1">
      <c r="F6115" s="14"/>
    </row>
    <row r="6116" ht="22.5" customHeight="1">
      <c r="F6116" s="14"/>
    </row>
    <row r="6117" ht="22.5" customHeight="1">
      <c r="F6117" s="14"/>
    </row>
    <row r="6118" ht="22.5" customHeight="1">
      <c r="F6118" s="14"/>
    </row>
    <row r="6119" ht="22.5" customHeight="1">
      <c r="F6119" s="14"/>
    </row>
    <row r="6120" ht="22.5" customHeight="1">
      <c r="F6120" s="14"/>
    </row>
    <row r="6121" ht="22.5" customHeight="1">
      <c r="F6121" s="14"/>
    </row>
    <row r="6122" ht="22.5" customHeight="1">
      <c r="F6122" s="14"/>
    </row>
    <row r="6123" ht="22.5" customHeight="1">
      <c r="F6123" s="14"/>
    </row>
    <row r="6124" ht="22.5" customHeight="1">
      <c r="F6124" s="14"/>
    </row>
    <row r="6125" ht="22.5" customHeight="1">
      <c r="F6125" s="14"/>
    </row>
    <row r="6126" ht="22.5" customHeight="1">
      <c r="F6126" s="14"/>
    </row>
    <row r="6127" ht="22.5" customHeight="1">
      <c r="F6127" s="14"/>
    </row>
    <row r="6128" ht="22.5" customHeight="1">
      <c r="F6128" s="14"/>
    </row>
    <row r="6129" ht="22.5" customHeight="1">
      <c r="F6129" s="14"/>
    </row>
    <row r="6130" ht="22.5" customHeight="1">
      <c r="F6130" s="14"/>
    </row>
    <row r="6131" ht="22.5" customHeight="1">
      <c r="F6131" s="14"/>
    </row>
    <row r="6132" ht="22.5" customHeight="1">
      <c r="F6132" s="14"/>
    </row>
    <row r="6133" ht="22.5" customHeight="1">
      <c r="F6133" s="14"/>
    </row>
    <row r="6134" ht="22.5" customHeight="1">
      <c r="F6134" s="14"/>
    </row>
    <row r="6135" ht="22.5" customHeight="1">
      <c r="F6135" s="14"/>
    </row>
    <row r="6136" ht="22.5" customHeight="1">
      <c r="F6136" s="14"/>
    </row>
    <row r="6137" ht="22.5" customHeight="1">
      <c r="F6137" s="14"/>
    </row>
    <row r="6138" ht="22.5" customHeight="1">
      <c r="F6138" s="14"/>
    </row>
    <row r="6139" ht="22.5" customHeight="1">
      <c r="F6139" s="14"/>
    </row>
    <row r="6140" ht="22.5" customHeight="1">
      <c r="F6140" s="14"/>
    </row>
    <row r="6141" ht="22.5" customHeight="1">
      <c r="F6141" s="14"/>
    </row>
    <row r="6142" ht="22.5" customHeight="1">
      <c r="F6142" s="14"/>
    </row>
    <row r="6143" ht="22.5" customHeight="1">
      <c r="F6143" s="14"/>
    </row>
    <row r="6144" ht="22.5" customHeight="1">
      <c r="F6144" s="14"/>
    </row>
    <row r="6145" ht="22.5" customHeight="1">
      <c r="F6145" s="14"/>
    </row>
    <row r="6146" ht="22.5" customHeight="1">
      <c r="F6146" s="14"/>
    </row>
    <row r="6147" ht="22.5" customHeight="1">
      <c r="F6147" s="14"/>
    </row>
    <row r="6148" ht="22.5" customHeight="1">
      <c r="F6148" s="14"/>
    </row>
    <row r="6149" ht="22.5" customHeight="1">
      <c r="F6149" s="14"/>
    </row>
    <row r="6150" ht="22.5" customHeight="1">
      <c r="F6150" s="14"/>
    </row>
    <row r="6151" ht="22.5" customHeight="1">
      <c r="F6151" s="14"/>
    </row>
    <row r="6152" ht="22.5" customHeight="1">
      <c r="F6152" s="14"/>
    </row>
    <row r="6153" ht="22.5" customHeight="1">
      <c r="F6153" s="14"/>
    </row>
    <row r="6154" ht="22.5" customHeight="1">
      <c r="F6154" s="14"/>
    </row>
    <row r="6155" ht="22.5" customHeight="1">
      <c r="F6155" s="14"/>
    </row>
    <row r="6156" ht="22.5" customHeight="1">
      <c r="F6156" s="14"/>
    </row>
    <row r="6157" ht="22.5" customHeight="1">
      <c r="F6157" s="14"/>
    </row>
    <row r="6158" ht="22.5" customHeight="1">
      <c r="F6158" s="14"/>
    </row>
    <row r="6159" ht="22.5" customHeight="1">
      <c r="F6159" s="14"/>
    </row>
    <row r="6160" ht="22.5" customHeight="1">
      <c r="F6160" s="14"/>
    </row>
    <row r="6161" ht="22.5" customHeight="1">
      <c r="F6161" s="14"/>
    </row>
    <row r="6162" ht="22.5" customHeight="1">
      <c r="F6162" s="14"/>
    </row>
    <row r="6163" ht="22.5" customHeight="1">
      <c r="F6163" s="14"/>
    </row>
    <row r="6164" ht="22.5" customHeight="1">
      <c r="F6164" s="14"/>
    </row>
    <row r="6165" ht="22.5" customHeight="1">
      <c r="F6165" s="14"/>
    </row>
    <row r="6166" ht="22.5" customHeight="1">
      <c r="F6166" s="14"/>
    </row>
    <row r="6167" ht="22.5" customHeight="1">
      <c r="F6167" s="14"/>
    </row>
    <row r="6168" ht="22.5" customHeight="1">
      <c r="F6168" s="14"/>
    </row>
    <row r="6169" ht="22.5" customHeight="1">
      <c r="F6169" s="14"/>
    </row>
    <row r="6170" ht="22.5" customHeight="1">
      <c r="F6170" s="14"/>
    </row>
    <row r="6171" ht="22.5" customHeight="1">
      <c r="F6171" s="14"/>
    </row>
    <row r="6172" ht="22.5" customHeight="1">
      <c r="F6172" s="14"/>
    </row>
    <row r="6173" ht="22.5" customHeight="1">
      <c r="F6173" s="14"/>
    </row>
    <row r="6174" ht="22.5" customHeight="1">
      <c r="F6174" s="14"/>
    </row>
    <row r="6175" ht="22.5" customHeight="1">
      <c r="F6175" s="14"/>
    </row>
    <row r="6176" ht="22.5" customHeight="1">
      <c r="F6176" s="14"/>
    </row>
    <row r="6177" ht="22.5" customHeight="1">
      <c r="F6177" s="14"/>
    </row>
    <row r="6178" ht="22.5" customHeight="1">
      <c r="F6178" s="14"/>
    </row>
    <row r="6179" ht="22.5" customHeight="1">
      <c r="F6179" s="14"/>
    </row>
    <row r="6180" ht="22.5" customHeight="1">
      <c r="F6180" s="14"/>
    </row>
    <row r="6181" ht="22.5" customHeight="1">
      <c r="F6181" s="14"/>
    </row>
    <row r="6182" ht="22.5" customHeight="1">
      <c r="F6182" s="14"/>
    </row>
    <row r="6183" ht="22.5" customHeight="1">
      <c r="F6183" s="14"/>
    </row>
    <row r="6184" ht="22.5" customHeight="1">
      <c r="F6184" s="14"/>
    </row>
    <row r="6185" ht="22.5" customHeight="1">
      <c r="F6185" s="14"/>
    </row>
    <row r="6186" ht="22.5" customHeight="1">
      <c r="F6186" s="14"/>
    </row>
    <row r="6187" ht="22.5" customHeight="1">
      <c r="F6187" s="14"/>
    </row>
    <row r="6188" ht="22.5" customHeight="1">
      <c r="F6188" s="14"/>
    </row>
    <row r="6189" ht="22.5" customHeight="1">
      <c r="F6189" s="14"/>
    </row>
    <row r="6190" ht="22.5" customHeight="1">
      <c r="F6190" s="14"/>
    </row>
    <row r="6191" ht="22.5" customHeight="1">
      <c r="F6191" s="14"/>
    </row>
    <row r="6192" ht="22.5" customHeight="1">
      <c r="F6192" s="14"/>
    </row>
    <row r="6193" ht="22.5" customHeight="1">
      <c r="F6193" s="14"/>
    </row>
    <row r="6194" ht="22.5" customHeight="1">
      <c r="F6194" s="14"/>
    </row>
    <row r="6195" ht="22.5" customHeight="1">
      <c r="F6195" s="14"/>
    </row>
    <row r="6196" ht="22.5" customHeight="1">
      <c r="F6196" s="14"/>
    </row>
    <row r="6197" ht="22.5" customHeight="1">
      <c r="F6197" s="14"/>
    </row>
    <row r="6198" ht="22.5" customHeight="1">
      <c r="F6198" s="14"/>
    </row>
    <row r="6199" ht="22.5" customHeight="1">
      <c r="F6199" s="14"/>
    </row>
    <row r="6200" ht="22.5" customHeight="1">
      <c r="F6200" s="14"/>
    </row>
    <row r="6201" ht="22.5" customHeight="1">
      <c r="F6201" s="14"/>
    </row>
    <row r="6202" ht="22.5" customHeight="1">
      <c r="F6202" s="14"/>
    </row>
    <row r="6203" ht="22.5" customHeight="1">
      <c r="F6203" s="14"/>
    </row>
    <row r="6204" ht="22.5" customHeight="1">
      <c r="F6204" s="14"/>
    </row>
    <row r="6205" ht="22.5" customHeight="1">
      <c r="F6205" s="14"/>
    </row>
    <row r="6206" ht="22.5" customHeight="1">
      <c r="F6206" s="14"/>
    </row>
    <row r="6207" ht="22.5" customHeight="1">
      <c r="F6207" s="14"/>
    </row>
    <row r="6208" ht="22.5" customHeight="1">
      <c r="F6208" s="14"/>
    </row>
    <row r="6209" ht="22.5" customHeight="1">
      <c r="F6209" s="14"/>
    </row>
    <row r="6210" ht="22.5" customHeight="1">
      <c r="F6210" s="14"/>
    </row>
    <row r="6211" ht="22.5" customHeight="1">
      <c r="F6211" s="14"/>
    </row>
    <row r="6212" ht="22.5" customHeight="1">
      <c r="F6212" s="14"/>
    </row>
    <row r="6213" ht="22.5" customHeight="1">
      <c r="F6213" s="14"/>
    </row>
    <row r="6214" ht="22.5" customHeight="1">
      <c r="F6214" s="14"/>
    </row>
    <row r="6215" ht="22.5" customHeight="1">
      <c r="F6215" s="14"/>
    </row>
    <row r="6216" ht="22.5" customHeight="1">
      <c r="F6216" s="14"/>
    </row>
    <row r="6217" ht="22.5" customHeight="1">
      <c r="F6217" s="14"/>
    </row>
    <row r="6218" ht="22.5" customHeight="1">
      <c r="F6218" s="14"/>
    </row>
    <row r="6219" ht="22.5" customHeight="1">
      <c r="F6219" s="14"/>
    </row>
    <row r="6220" ht="22.5" customHeight="1">
      <c r="F6220" s="14"/>
    </row>
    <row r="6221" ht="22.5" customHeight="1">
      <c r="F6221" s="14"/>
    </row>
    <row r="6222" ht="22.5" customHeight="1">
      <c r="F6222" s="14"/>
    </row>
    <row r="6223" ht="22.5" customHeight="1">
      <c r="F6223" s="14"/>
    </row>
    <row r="6224" ht="22.5" customHeight="1">
      <c r="F6224" s="14"/>
    </row>
    <row r="6225" ht="22.5" customHeight="1">
      <c r="F6225" s="14"/>
    </row>
    <row r="6226" ht="22.5" customHeight="1">
      <c r="F6226" s="14"/>
    </row>
    <row r="6227" ht="22.5" customHeight="1">
      <c r="F6227" s="14"/>
    </row>
    <row r="6228" ht="22.5" customHeight="1">
      <c r="F6228" s="14"/>
    </row>
    <row r="6229" ht="22.5" customHeight="1">
      <c r="F6229" s="14"/>
    </row>
    <row r="6230" ht="22.5" customHeight="1">
      <c r="F6230" s="14"/>
    </row>
    <row r="6231" ht="22.5" customHeight="1">
      <c r="F6231" s="14"/>
    </row>
    <row r="6232" ht="22.5" customHeight="1">
      <c r="F6232" s="14"/>
    </row>
    <row r="6233" ht="22.5" customHeight="1">
      <c r="F6233" s="14"/>
    </row>
    <row r="6234" ht="22.5" customHeight="1">
      <c r="F6234" s="14"/>
    </row>
    <row r="6235" ht="22.5" customHeight="1">
      <c r="F6235" s="14"/>
    </row>
    <row r="6236" ht="22.5" customHeight="1">
      <c r="F6236" s="14"/>
    </row>
    <row r="6237" ht="22.5" customHeight="1">
      <c r="F6237" s="14"/>
    </row>
    <row r="6238" ht="22.5" customHeight="1">
      <c r="F6238" s="14"/>
    </row>
    <row r="6239" ht="22.5" customHeight="1">
      <c r="F6239" s="14"/>
    </row>
    <row r="6240" ht="22.5" customHeight="1">
      <c r="F6240" s="14"/>
    </row>
    <row r="6241" ht="22.5" customHeight="1">
      <c r="F6241" s="14"/>
    </row>
    <row r="6242" ht="22.5" customHeight="1">
      <c r="F6242" s="14"/>
    </row>
    <row r="6243" ht="22.5" customHeight="1">
      <c r="F6243" s="14"/>
    </row>
    <row r="6244" ht="22.5" customHeight="1">
      <c r="F6244" s="14"/>
    </row>
    <row r="6245" ht="22.5" customHeight="1">
      <c r="F6245" s="14"/>
    </row>
    <row r="6246" ht="22.5" customHeight="1">
      <c r="F6246" s="14"/>
    </row>
    <row r="6247" ht="22.5" customHeight="1">
      <c r="F6247" s="14"/>
    </row>
    <row r="6248" ht="22.5" customHeight="1">
      <c r="F6248" s="14"/>
    </row>
    <row r="6249" ht="22.5" customHeight="1">
      <c r="F6249" s="14"/>
    </row>
    <row r="6250" ht="22.5" customHeight="1">
      <c r="F6250" s="14"/>
    </row>
    <row r="6251" ht="22.5" customHeight="1">
      <c r="F6251" s="14"/>
    </row>
    <row r="6252" ht="22.5" customHeight="1">
      <c r="F6252" s="14"/>
    </row>
    <row r="6253" ht="22.5" customHeight="1">
      <c r="F6253" s="14"/>
    </row>
    <row r="6254" ht="22.5" customHeight="1">
      <c r="F6254" s="14"/>
    </row>
    <row r="6255" ht="22.5" customHeight="1">
      <c r="F6255" s="14"/>
    </row>
    <row r="6256" ht="22.5" customHeight="1">
      <c r="F6256" s="14"/>
    </row>
    <row r="6257" ht="22.5" customHeight="1">
      <c r="F6257" s="14"/>
    </row>
    <row r="6258" ht="22.5" customHeight="1">
      <c r="F6258" s="14"/>
    </row>
    <row r="6259" ht="22.5" customHeight="1">
      <c r="F6259" s="14"/>
    </row>
    <row r="6260" ht="22.5" customHeight="1">
      <c r="F6260" s="14"/>
    </row>
    <row r="6261" ht="22.5" customHeight="1">
      <c r="F6261" s="14"/>
    </row>
    <row r="6262" ht="22.5" customHeight="1">
      <c r="F6262" s="14"/>
    </row>
    <row r="6263" ht="22.5" customHeight="1">
      <c r="F6263" s="14"/>
    </row>
    <row r="6264" ht="22.5" customHeight="1">
      <c r="F6264" s="14"/>
    </row>
    <row r="6265" ht="22.5" customHeight="1">
      <c r="F6265" s="14"/>
    </row>
    <row r="6266" ht="22.5" customHeight="1">
      <c r="F6266" s="14"/>
    </row>
    <row r="6267" ht="22.5" customHeight="1">
      <c r="F6267" s="14"/>
    </row>
    <row r="6268" ht="22.5" customHeight="1">
      <c r="F6268" s="14"/>
    </row>
    <row r="6269" ht="22.5" customHeight="1">
      <c r="F6269" s="14"/>
    </row>
    <row r="6270" ht="22.5" customHeight="1">
      <c r="F6270" s="14"/>
    </row>
    <row r="6271" ht="22.5" customHeight="1">
      <c r="F6271" s="14"/>
    </row>
    <row r="6272" ht="22.5" customHeight="1">
      <c r="F6272" s="14"/>
    </row>
    <row r="6273" ht="22.5" customHeight="1">
      <c r="F6273" s="14"/>
    </row>
    <row r="6274" ht="22.5" customHeight="1">
      <c r="F6274" s="14"/>
    </row>
    <row r="6275" ht="22.5" customHeight="1">
      <c r="F6275" s="14"/>
    </row>
    <row r="6276" ht="22.5" customHeight="1">
      <c r="F6276" s="14"/>
    </row>
    <row r="6277" ht="22.5" customHeight="1">
      <c r="F6277" s="14"/>
    </row>
    <row r="6278" ht="22.5" customHeight="1">
      <c r="F6278" s="14"/>
    </row>
    <row r="6279" ht="22.5" customHeight="1">
      <c r="F6279" s="14"/>
    </row>
    <row r="6280" ht="22.5" customHeight="1">
      <c r="F6280" s="14"/>
    </row>
    <row r="6281" ht="22.5" customHeight="1">
      <c r="F6281" s="14"/>
    </row>
    <row r="6282" ht="22.5" customHeight="1">
      <c r="F6282" s="14"/>
    </row>
    <row r="6283" ht="22.5" customHeight="1">
      <c r="F6283" s="14"/>
    </row>
    <row r="6284" ht="22.5" customHeight="1">
      <c r="F6284" s="14"/>
    </row>
    <row r="6285" ht="22.5" customHeight="1">
      <c r="F6285" s="14"/>
    </row>
    <row r="6286" ht="22.5" customHeight="1">
      <c r="F6286" s="14"/>
    </row>
    <row r="6287" ht="22.5" customHeight="1">
      <c r="F6287" s="14"/>
    </row>
    <row r="6288" ht="22.5" customHeight="1">
      <c r="F6288" s="14"/>
    </row>
    <row r="6289" ht="22.5" customHeight="1">
      <c r="F6289" s="14"/>
    </row>
    <row r="6290" ht="22.5" customHeight="1">
      <c r="F6290" s="14"/>
    </row>
    <row r="6291" ht="22.5" customHeight="1">
      <c r="F6291" s="14"/>
    </row>
    <row r="6292" ht="22.5" customHeight="1">
      <c r="F6292" s="14"/>
    </row>
    <row r="6293" ht="22.5" customHeight="1">
      <c r="F6293" s="14"/>
    </row>
    <row r="6294" ht="22.5" customHeight="1">
      <c r="F6294" s="14"/>
    </row>
    <row r="6295" ht="22.5" customHeight="1">
      <c r="F6295" s="14"/>
    </row>
    <row r="6296" ht="22.5" customHeight="1">
      <c r="F6296" s="14"/>
    </row>
    <row r="6297" ht="22.5" customHeight="1">
      <c r="F6297" s="14"/>
    </row>
    <row r="6298" ht="22.5" customHeight="1">
      <c r="F6298" s="14"/>
    </row>
    <row r="6299" ht="22.5" customHeight="1">
      <c r="F6299" s="14"/>
    </row>
    <row r="6300" ht="22.5" customHeight="1">
      <c r="F6300" s="14"/>
    </row>
    <row r="6301" ht="22.5" customHeight="1">
      <c r="F6301" s="14"/>
    </row>
    <row r="6302" ht="22.5" customHeight="1">
      <c r="F6302" s="14"/>
    </row>
    <row r="6303" ht="22.5" customHeight="1">
      <c r="F6303" s="14"/>
    </row>
    <row r="6304" ht="22.5" customHeight="1">
      <c r="F6304" s="14"/>
    </row>
    <row r="6305" ht="22.5" customHeight="1">
      <c r="F6305" s="14"/>
    </row>
    <row r="6306" ht="22.5" customHeight="1">
      <c r="F6306" s="14"/>
    </row>
    <row r="6307" ht="22.5" customHeight="1">
      <c r="F6307" s="14"/>
    </row>
    <row r="6308" ht="22.5" customHeight="1">
      <c r="F6308" s="14"/>
    </row>
    <row r="6309" ht="22.5" customHeight="1">
      <c r="F6309" s="14"/>
    </row>
    <row r="6310" ht="22.5" customHeight="1">
      <c r="F6310" s="14"/>
    </row>
    <row r="6311" ht="22.5" customHeight="1">
      <c r="F6311" s="14"/>
    </row>
    <row r="6312" ht="22.5" customHeight="1">
      <c r="F6312" s="14"/>
    </row>
    <row r="6313" ht="22.5" customHeight="1">
      <c r="F6313" s="14"/>
    </row>
    <row r="6314" ht="22.5" customHeight="1">
      <c r="F6314" s="14"/>
    </row>
    <row r="6315" ht="22.5" customHeight="1">
      <c r="F6315" s="14"/>
    </row>
    <row r="6316" ht="22.5" customHeight="1">
      <c r="F6316" s="14"/>
    </row>
    <row r="6317" ht="22.5" customHeight="1">
      <c r="F6317" s="14"/>
    </row>
    <row r="6318" ht="22.5" customHeight="1">
      <c r="F6318" s="14"/>
    </row>
    <row r="6319" ht="22.5" customHeight="1">
      <c r="F6319" s="14"/>
    </row>
    <row r="6320" ht="22.5" customHeight="1">
      <c r="F6320" s="14"/>
    </row>
    <row r="6321" ht="22.5" customHeight="1">
      <c r="F6321" s="14"/>
    </row>
    <row r="6322" ht="22.5" customHeight="1">
      <c r="F6322" s="14"/>
    </row>
    <row r="6323" ht="22.5" customHeight="1">
      <c r="F6323" s="14"/>
    </row>
    <row r="6324" ht="22.5" customHeight="1">
      <c r="F6324" s="14"/>
    </row>
    <row r="6325" ht="22.5" customHeight="1">
      <c r="F6325" s="14"/>
    </row>
    <row r="6326" ht="22.5" customHeight="1">
      <c r="F6326" s="14"/>
    </row>
    <row r="6327" ht="22.5" customHeight="1">
      <c r="F6327" s="14"/>
    </row>
    <row r="6328" ht="22.5" customHeight="1">
      <c r="F6328" s="14"/>
    </row>
    <row r="6329" ht="22.5" customHeight="1">
      <c r="F6329" s="14"/>
    </row>
    <row r="6330" ht="22.5" customHeight="1">
      <c r="F6330" s="14"/>
    </row>
    <row r="6331" ht="22.5" customHeight="1">
      <c r="F6331" s="14"/>
    </row>
    <row r="6332" ht="22.5" customHeight="1">
      <c r="F6332" s="14"/>
    </row>
    <row r="6333" ht="22.5" customHeight="1">
      <c r="F6333" s="14"/>
    </row>
    <row r="6334" ht="22.5" customHeight="1">
      <c r="F6334" s="14"/>
    </row>
    <row r="6335" ht="22.5" customHeight="1">
      <c r="F6335" s="14"/>
    </row>
    <row r="6336" ht="22.5" customHeight="1">
      <c r="F6336" s="14"/>
    </row>
    <row r="6337" ht="22.5" customHeight="1">
      <c r="F6337" s="14"/>
    </row>
    <row r="6338" ht="22.5" customHeight="1">
      <c r="F6338" s="14"/>
    </row>
    <row r="6339" ht="22.5" customHeight="1">
      <c r="F6339" s="14"/>
    </row>
    <row r="6340" ht="22.5" customHeight="1">
      <c r="F6340" s="14"/>
    </row>
    <row r="6341" ht="22.5" customHeight="1">
      <c r="F6341" s="14"/>
    </row>
    <row r="6342" ht="22.5" customHeight="1">
      <c r="F6342" s="14"/>
    </row>
    <row r="6343" ht="22.5" customHeight="1">
      <c r="F6343" s="14"/>
    </row>
    <row r="6344" ht="22.5" customHeight="1">
      <c r="F6344" s="14"/>
    </row>
    <row r="6345" ht="22.5" customHeight="1">
      <c r="F6345" s="14"/>
    </row>
    <row r="6346" ht="22.5" customHeight="1">
      <c r="F6346" s="14"/>
    </row>
    <row r="6347" ht="22.5" customHeight="1">
      <c r="F6347" s="14"/>
    </row>
    <row r="6348" ht="22.5" customHeight="1">
      <c r="F6348" s="14"/>
    </row>
    <row r="6349" ht="22.5" customHeight="1">
      <c r="F6349" s="14"/>
    </row>
    <row r="6350" ht="22.5" customHeight="1">
      <c r="F6350" s="14"/>
    </row>
    <row r="6351" ht="22.5" customHeight="1">
      <c r="F6351" s="14"/>
    </row>
    <row r="6352" ht="22.5" customHeight="1">
      <c r="F6352" s="14"/>
    </row>
    <row r="6353" ht="22.5" customHeight="1">
      <c r="F6353" s="14"/>
    </row>
    <row r="6354" ht="22.5" customHeight="1">
      <c r="F6354" s="14"/>
    </row>
    <row r="6355" ht="22.5" customHeight="1">
      <c r="F6355" s="14"/>
    </row>
    <row r="6356" ht="22.5" customHeight="1">
      <c r="F6356" s="14"/>
    </row>
    <row r="6357" ht="22.5" customHeight="1">
      <c r="F6357" s="14"/>
    </row>
    <row r="6358" ht="22.5" customHeight="1">
      <c r="F6358" s="14"/>
    </row>
    <row r="6359" ht="22.5" customHeight="1">
      <c r="F6359" s="14"/>
    </row>
    <row r="6360" ht="22.5" customHeight="1">
      <c r="F6360" s="14"/>
    </row>
    <row r="6361" ht="22.5" customHeight="1">
      <c r="F6361" s="14"/>
    </row>
    <row r="6362" ht="22.5" customHeight="1">
      <c r="F6362" s="14"/>
    </row>
    <row r="6363" ht="22.5" customHeight="1">
      <c r="F6363" s="14"/>
    </row>
    <row r="6364" ht="22.5" customHeight="1">
      <c r="F6364" s="14"/>
    </row>
    <row r="6365" ht="22.5" customHeight="1">
      <c r="F6365" s="14"/>
    </row>
    <row r="6366" ht="22.5" customHeight="1">
      <c r="F6366" s="14"/>
    </row>
    <row r="6367" ht="22.5" customHeight="1">
      <c r="F6367" s="14"/>
    </row>
    <row r="6368" ht="22.5" customHeight="1">
      <c r="F6368" s="14"/>
    </row>
    <row r="6369" ht="22.5" customHeight="1">
      <c r="F6369" s="14"/>
    </row>
    <row r="6370" ht="22.5" customHeight="1">
      <c r="F6370" s="14"/>
    </row>
    <row r="6371" ht="22.5" customHeight="1">
      <c r="F6371" s="14"/>
    </row>
    <row r="6372" ht="22.5" customHeight="1">
      <c r="F6372" s="14"/>
    </row>
    <row r="6373" ht="22.5" customHeight="1">
      <c r="F6373" s="14"/>
    </row>
    <row r="6374" ht="22.5" customHeight="1">
      <c r="F6374" s="14"/>
    </row>
    <row r="6375" ht="22.5" customHeight="1">
      <c r="F6375" s="14"/>
    </row>
    <row r="6376" ht="22.5" customHeight="1">
      <c r="F6376" s="14"/>
    </row>
    <row r="6377" ht="22.5" customHeight="1">
      <c r="F6377" s="14"/>
    </row>
    <row r="6378" ht="22.5" customHeight="1">
      <c r="F6378" s="14"/>
    </row>
    <row r="6379" ht="22.5" customHeight="1">
      <c r="F6379" s="14"/>
    </row>
    <row r="6380" ht="22.5" customHeight="1">
      <c r="F6380" s="14"/>
    </row>
    <row r="6381" ht="22.5" customHeight="1">
      <c r="F6381" s="14"/>
    </row>
    <row r="6382" ht="22.5" customHeight="1">
      <c r="F6382" s="14"/>
    </row>
    <row r="6383" ht="22.5" customHeight="1">
      <c r="F6383" s="14"/>
    </row>
    <row r="6384" ht="22.5" customHeight="1">
      <c r="F6384" s="14"/>
    </row>
    <row r="6385" ht="22.5" customHeight="1">
      <c r="F6385" s="14"/>
    </row>
    <row r="6386" ht="22.5" customHeight="1">
      <c r="F6386" s="14"/>
    </row>
    <row r="6387" ht="22.5" customHeight="1">
      <c r="F6387" s="14"/>
    </row>
    <row r="6388" ht="22.5" customHeight="1">
      <c r="F6388" s="14"/>
    </row>
    <row r="6389" ht="22.5" customHeight="1">
      <c r="F6389" s="14"/>
    </row>
    <row r="6390" ht="22.5" customHeight="1">
      <c r="F6390" s="14"/>
    </row>
    <row r="6391" ht="22.5" customHeight="1">
      <c r="F6391" s="14"/>
    </row>
    <row r="6392" ht="22.5" customHeight="1">
      <c r="F6392" s="14"/>
    </row>
    <row r="6393" ht="22.5" customHeight="1">
      <c r="F6393" s="14"/>
    </row>
    <row r="6394" ht="22.5" customHeight="1">
      <c r="F6394" s="14"/>
    </row>
    <row r="6395" ht="22.5" customHeight="1">
      <c r="F6395" s="14"/>
    </row>
    <row r="6396" ht="22.5" customHeight="1">
      <c r="F6396" s="14"/>
    </row>
    <row r="6397" ht="22.5" customHeight="1">
      <c r="F6397" s="14"/>
    </row>
    <row r="6398" ht="22.5" customHeight="1">
      <c r="F6398" s="14"/>
    </row>
    <row r="6399" ht="22.5" customHeight="1">
      <c r="F6399" s="14"/>
    </row>
    <row r="6400" ht="22.5" customHeight="1">
      <c r="F6400" s="14"/>
    </row>
    <row r="6401" ht="22.5" customHeight="1">
      <c r="F6401" s="14"/>
    </row>
    <row r="6402" ht="22.5" customHeight="1">
      <c r="F6402" s="14"/>
    </row>
    <row r="6403" ht="22.5" customHeight="1">
      <c r="F6403" s="14"/>
    </row>
    <row r="6404" ht="22.5" customHeight="1">
      <c r="F6404" s="14"/>
    </row>
    <row r="6405" ht="22.5" customHeight="1">
      <c r="F6405" s="14"/>
    </row>
    <row r="6406" ht="22.5" customHeight="1">
      <c r="F6406" s="14"/>
    </row>
    <row r="6407" ht="22.5" customHeight="1">
      <c r="F6407" s="14"/>
    </row>
    <row r="6408" ht="22.5" customHeight="1">
      <c r="F6408" s="14"/>
    </row>
    <row r="6409" ht="22.5" customHeight="1">
      <c r="F6409" s="14"/>
    </row>
    <row r="6410" ht="22.5" customHeight="1">
      <c r="F6410" s="14"/>
    </row>
    <row r="6411" ht="22.5" customHeight="1">
      <c r="F6411" s="14"/>
    </row>
    <row r="6412" ht="22.5" customHeight="1">
      <c r="F6412" s="14"/>
    </row>
    <row r="6413" ht="22.5" customHeight="1">
      <c r="F6413" s="14"/>
    </row>
    <row r="6414" ht="22.5" customHeight="1">
      <c r="F6414" s="14"/>
    </row>
    <row r="6415" ht="22.5" customHeight="1">
      <c r="F6415" s="14"/>
    </row>
    <row r="6416" ht="22.5" customHeight="1">
      <c r="F6416" s="14"/>
    </row>
    <row r="6417" ht="22.5" customHeight="1">
      <c r="F6417" s="14"/>
    </row>
    <row r="6418" ht="22.5" customHeight="1">
      <c r="F6418" s="14"/>
    </row>
    <row r="6419" ht="22.5" customHeight="1">
      <c r="F6419" s="14"/>
    </row>
    <row r="6420" ht="22.5" customHeight="1">
      <c r="F6420" s="14"/>
    </row>
    <row r="6421" ht="22.5" customHeight="1">
      <c r="F6421" s="14"/>
    </row>
    <row r="6422" ht="22.5" customHeight="1">
      <c r="F6422" s="14"/>
    </row>
    <row r="6423" ht="22.5" customHeight="1">
      <c r="F6423" s="14"/>
    </row>
    <row r="6424" ht="22.5" customHeight="1">
      <c r="F6424" s="14"/>
    </row>
    <row r="6425" ht="22.5" customHeight="1">
      <c r="F6425" s="14"/>
    </row>
    <row r="6426" ht="22.5" customHeight="1">
      <c r="F6426" s="14"/>
    </row>
    <row r="6427" ht="22.5" customHeight="1">
      <c r="F6427" s="14"/>
    </row>
    <row r="6428" ht="22.5" customHeight="1">
      <c r="F6428" s="14"/>
    </row>
    <row r="6429" ht="22.5" customHeight="1">
      <c r="F6429" s="14"/>
    </row>
    <row r="6430" ht="22.5" customHeight="1">
      <c r="F6430" s="14"/>
    </row>
    <row r="6431" ht="22.5" customHeight="1">
      <c r="F6431" s="14"/>
    </row>
    <row r="6432" ht="22.5" customHeight="1">
      <c r="F6432" s="14"/>
    </row>
    <row r="6433" ht="22.5" customHeight="1">
      <c r="F6433" s="14"/>
    </row>
    <row r="6434" ht="22.5" customHeight="1">
      <c r="F6434" s="14"/>
    </row>
    <row r="6435" ht="22.5" customHeight="1">
      <c r="F6435" s="14"/>
    </row>
    <row r="6436" ht="22.5" customHeight="1">
      <c r="F6436" s="14"/>
    </row>
    <row r="6437" ht="22.5" customHeight="1">
      <c r="F6437" s="14"/>
    </row>
    <row r="6438" ht="22.5" customHeight="1">
      <c r="F6438" s="14"/>
    </row>
    <row r="6439" ht="22.5" customHeight="1">
      <c r="F6439" s="14"/>
    </row>
    <row r="6440" ht="22.5" customHeight="1">
      <c r="F6440" s="14"/>
    </row>
    <row r="6441" ht="22.5" customHeight="1">
      <c r="F6441" s="14"/>
    </row>
    <row r="6442" ht="22.5" customHeight="1">
      <c r="F6442" s="14"/>
    </row>
    <row r="6443" ht="22.5" customHeight="1">
      <c r="F6443" s="14"/>
    </row>
    <row r="6444" ht="22.5" customHeight="1">
      <c r="F6444" s="14"/>
    </row>
    <row r="6445" ht="22.5" customHeight="1">
      <c r="F6445" s="14"/>
    </row>
    <row r="6446" ht="22.5" customHeight="1">
      <c r="F6446" s="14"/>
    </row>
    <row r="6447" ht="22.5" customHeight="1">
      <c r="F6447" s="14"/>
    </row>
    <row r="6448" ht="22.5" customHeight="1">
      <c r="F6448" s="14"/>
    </row>
    <row r="6449" ht="22.5" customHeight="1">
      <c r="F6449" s="14"/>
    </row>
    <row r="6450" ht="22.5" customHeight="1">
      <c r="F6450" s="14"/>
    </row>
    <row r="6451" ht="22.5" customHeight="1">
      <c r="F6451" s="14"/>
    </row>
    <row r="6452" ht="22.5" customHeight="1">
      <c r="F6452" s="14"/>
    </row>
    <row r="6453" ht="22.5" customHeight="1">
      <c r="F6453" s="14"/>
    </row>
    <row r="6454" ht="22.5" customHeight="1">
      <c r="F6454" s="14"/>
    </row>
    <row r="6455" ht="22.5" customHeight="1">
      <c r="F6455" s="14"/>
    </row>
    <row r="6456" ht="22.5" customHeight="1">
      <c r="F6456" s="14"/>
    </row>
    <row r="6457" ht="22.5" customHeight="1">
      <c r="F6457" s="14"/>
    </row>
    <row r="6458" ht="22.5" customHeight="1">
      <c r="F6458" s="14"/>
    </row>
    <row r="6459" ht="22.5" customHeight="1">
      <c r="F6459" s="14"/>
    </row>
    <row r="6460" ht="22.5" customHeight="1">
      <c r="F6460" s="14"/>
    </row>
    <row r="6461" ht="22.5" customHeight="1">
      <c r="F6461" s="14"/>
    </row>
    <row r="6462" ht="22.5" customHeight="1">
      <c r="F6462" s="14"/>
    </row>
    <row r="6463" ht="22.5" customHeight="1">
      <c r="F6463" s="14"/>
    </row>
    <row r="6464" ht="22.5" customHeight="1">
      <c r="F6464" s="14"/>
    </row>
    <row r="6465" ht="22.5" customHeight="1">
      <c r="F6465" s="14"/>
    </row>
    <row r="6466" ht="22.5" customHeight="1">
      <c r="F6466" s="14"/>
    </row>
    <row r="6467" ht="22.5" customHeight="1">
      <c r="F6467" s="14"/>
    </row>
    <row r="6468" ht="22.5" customHeight="1">
      <c r="F6468" s="14"/>
    </row>
    <row r="6469" ht="22.5" customHeight="1">
      <c r="F6469" s="14"/>
    </row>
    <row r="6470" ht="22.5" customHeight="1">
      <c r="F6470" s="14"/>
    </row>
    <row r="6471" ht="22.5" customHeight="1">
      <c r="F6471" s="14"/>
    </row>
    <row r="6472" ht="22.5" customHeight="1">
      <c r="F6472" s="14"/>
    </row>
    <row r="6473" ht="22.5" customHeight="1">
      <c r="F6473" s="14"/>
    </row>
    <row r="6474" ht="22.5" customHeight="1">
      <c r="F6474" s="14"/>
    </row>
    <row r="6475" ht="22.5" customHeight="1">
      <c r="F6475" s="14"/>
    </row>
    <row r="6476" ht="22.5" customHeight="1">
      <c r="F6476" s="14"/>
    </row>
    <row r="6477" ht="22.5" customHeight="1">
      <c r="F6477" s="14"/>
    </row>
    <row r="6478" ht="22.5" customHeight="1">
      <c r="F6478" s="14"/>
    </row>
    <row r="6479" ht="22.5" customHeight="1">
      <c r="F6479" s="14"/>
    </row>
    <row r="6480" ht="22.5" customHeight="1">
      <c r="F6480" s="14"/>
    </row>
    <row r="6481" ht="22.5" customHeight="1">
      <c r="F6481" s="14"/>
    </row>
    <row r="6482" ht="22.5" customHeight="1">
      <c r="F6482" s="14"/>
    </row>
    <row r="6483" ht="22.5" customHeight="1">
      <c r="F6483" s="14"/>
    </row>
    <row r="6484" ht="22.5" customHeight="1">
      <c r="F6484" s="14"/>
    </row>
    <row r="6485" ht="22.5" customHeight="1">
      <c r="F6485" s="14"/>
    </row>
    <row r="6486" ht="22.5" customHeight="1">
      <c r="F6486" s="14"/>
    </row>
    <row r="6487" ht="22.5" customHeight="1">
      <c r="F6487" s="14"/>
    </row>
    <row r="6488" ht="22.5" customHeight="1">
      <c r="F6488" s="14"/>
    </row>
    <row r="6489" ht="22.5" customHeight="1">
      <c r="F6489" s="14"/>
    </row>
    <row r="6490" ht="22.5" customHeight="1">
      <c r="F6490" s="14"/>
    </row>
    <row r="6491" ht="22.5" customHeight="1">
      <c r="F6491" s="14"/>
    </row>
    <row r="6492" ht="22.5" customHeight="1">
      <c r="F6492" s="14"/>
    </row>
    <row r="6493" ht="22.5" customHeight="1">
      <c r="F6493" s="14"/>
    </row>
    <row r="6494" ht="22.5" customHeight="1">
      <c r="F6494" s="14"/>
    </row>
    <row r="6495" ht="22.5" customHeight="1">
      <c r="F6495" s="14"/>
    </row>
    <row r="6496" ht="22.5" customHeight="1">
      <c r="F6496" s="14"/>
    </row>
    <row r="6497" ht="22.5" customHeight="1">
      <c r="F6497" s="14"/>
    </row>
    <row r="6498" ht="22.5" customHeight="1">
      <c r="F6498" s="14"/>
    </row>
    <row r="6499" ht="22.5" customHeight="1">
      <c r="F6499" s="14"/>
    </row>
    <row r="6500" ht="22.5" customHeight="1">
      <c r="F6500" s="14"/>
    </row>
    <row r="6501" ht="22.5" customHeight="1">
      <c r="F6501" s="14"/>
    </row>
    <row r="6502" ht="22.5" customHeight="1">
      <c r="F6502" s="14"/>
    </row>
    <row r="6503" ht="22.5" customHeight="1">
      <c r="F6503" s="14"/>
    </row>
    <row r="6504" ht="22.5" customHeight="1">
      <c r="F6504" s="14"/>
    </row>
    <row r="6505" ht="22.5" customHeight="1">
      <c r="F6505" s="14"/>
    </row>
    <row r="6506" ht="22.5" customHeight="1">
      <c r="F6506" s="14"/>
    </row>
    <row r="6507" ht="22.5" customHeight="1">
      <c r="F6507" s="14"/>
    </row>
    <row r="6508" ht="22.5" customHeight="1">
      <c r="F6508" s="14"/>
    </row>
    <row r="6509" ht="22.5" customHeight="1">
      <c r="F6509" s="14"/>
    </row>
    <row r="6510" ht="22.5" customHeight="1">
      <c r="F6510" s="14"/>
    </row>
    <row r="6511" ht="22.5" customHeight="1">
      <c r="F6511" s="14"/>
    </row>
    <row r="6512" ht="22.5" customHeight="1">
      <c r="F6512" s="14"/>
    </row>
    <row r="6513" ht="22.5" customHeight="1">
      <c r="F6513" s="14"/>
    </row>
    <row r="6514" ht="22.5" customHeight="1">
      <c r="F6514" s="14"/>
    </row>
    <row r="6515" ht="22.5" customHeight="1">
      <c r="F6515" s="14"/>
    </row>
    <row r="6516" ht="22.5" customHeight="1">
      <c r="F6516" s="14"/>
    </row>
    <row r="6517" ht="22.5" customHeight="1">
      <c r="F6517" s="14"/>
    </row>
    <row r="6518" ht="22.5" customHeight="1">
      <c r="F6518" s="14"/>
    </row>
    <row r="6519" ht="22.5" customHeight="1">
      <c r="F6519" s="14"/>
    </row>
    <row r="6520" ht="22.5" customHeight="1">
      <c r="F6520" s="14"/>
    </row>
    <row r="6521" ht="22.5" customHeight="1">
      <c r="F6521" s="14"/>
    </row>
    <row r="6522" ht="22.5" customHeight="1">
      <c r="F6522" s="14"/>
    </row>
    <row r="6523" ht="22.5" customHeight="1">
      <c r="F6523" s="14"/>
    </row>
    <row r="6524" ht="22.5" customHeight="1">
      <c r="F6524" s="14"/>
    </row>
    <row r="6525" ht="22.5" customHeight="1">
      <c r="F6525" s="14"/>
    </row>
    <row r="6526" ht="22.5" customHeight="1">
      <c r="F6526" s="14"/>
    </row>
    <row r="6527" ht="22.5" customHeight="1">
      <c r="F6527" s="14"/>
    </row>
    <row r="6528" ht="22.5" customHeight="1">
      <c r="F6528" s="14"/>
    </row>
    <row r="6529" ht="22.5" customHeight="1">
      <c r="F6529" s="14"/>
    </row>
    <row r="6530" ht="22.5" customHeight="1">
      <c r="F6530" s="14"/>
    </row>
    <row r="6531" ht="22.5" customHeight="1">
      <c r="F6531" s="14"/>
    </row>
    <row r="6532" ht="22.5" customHeight="1">
      <c r="F6532" s="14"/>
    </row>
    <row r="6533" ht="22.5" customHeight="1">
      <c r="F6533" s="14"/>
    </row>
    <row r="6534" ht="22.5" customHeight="1">
      <c r="F6534" s="14"/>
    </row>
    <row r="6535" ht="22.5" customHeight="1">
      <c r="F6535" s="14"/>
    </row>
    <row r="6536" ht="22.5" customHeight="1">
      <c r="F6536" s="14"/>
    </row>
    <row r="6537" ht="22.5" customHeight="1">
      <c r="F6537" s="14"/>
    </row>
    <row r="6538" ht="22.5" customHeight="1">
      <c r="F6538" s="14"/>
    </row>
    <row r="6539" ht="22.5" customHeight="1">
      <c r="F6539" s="14"/>
    </row>
    <row r="6540" ht="22.5" customHeight="1">
      <c r="F6540" s="14"/>
    </row>
    <row r="6541" ht="22.5" customHeight="1">
      <c r="F6541" s="14"/>
    </row>
    <row r="6542" ht="22.5" customHeight="1">
      <c r="F6542" s="14"/>
    </row>
    <row r="6543" ht="22.5" customHeight="1">
      <c r="F6543" s="14"/>
    </row>
    <row r="6544" ht="22.5" customHeight="1">
      <c r="F6544" s="14"/>
    </row>
    <row r="6545" ht="22.5" customHeight="1">
      <c r="F6545" s="14"/>
    </row>
    <row r="6546" ht="22.5" customHeight="1">
      <c r="F6546" s="14"/>
    </row>
    <row r="6547" ht="22.5" customHeight="1">
      <c r="F6547" s="14"/>
    </row>
    <row r="6548" ht="22.5" customHeight="1">
      <c r="F6548" s="14"/>
    </row>
    <row r="6549" ht="22.5" customHeight="1">
      <c r="F6549" s="14"/>
    </row>
    <row r="6550" ht="22.5" customHeight="1">
      <c r="F6550" s="14"/>
    </row>
    <row r="6551" ht="22.5" customHeight="1">
      <c r="F6551" s="14"/>
    </row>
    <row r="6552" ht="22.5" customHeight="1">
      <c r="F6552" s="14"/>
    </row>
    <row r="6553" ht="22.5" customHeight="1">
      <c r="F6553" s="14"/>
    </row>
    <row r="6554" ht="22.5" customHeight="1">
      <c r="F6554" s="14"/>
    </row>
    <row r="6555" ht="22.5" customHeight="1">
      <c r="F6555" s="14"/>
    </row>
    <row r="6556" ht="22.5" customHeight="1">
      <c r="F6556" s="14"/>
    </row>
    <row r="6557" ht="22.5" customHeight="1">
      <c r="F6557" s="14"/>
    </row>
    <row r="6558" ht="22.5" customHeight="1">
      <c r="F6558" s="14"/>
    </row>
    <row r="6559" ht="22.5" customHeight="1">
      <c r="F6559" s="14"/>
    </row>
    <row r="6560" ht="22.5" customHeight="1">
      <c r="F6560" s="14"/>
    </row>
    <row r="6561" ht="22.5" customHeight="1">
      <c r="F6561" s="14"/>
    </row>
    <row r="6562" ht="22.5" customHeight="1">
      <c r="F6562" s="14"/>
    </row>
    <row r="6563" ht="22.5" customHeight="1">
      <c r="F6563" s="14"/>
    </row>
    <row r="6564" ht="22.5" customHeight="1">
      <c r="F6564" s="14"/>
    </row>
    <row r="6565" ht="22.5" customHeight="1">
      <c r="F6565" s="14"/>
    </row>
    <row r="6566" ht="22.5" customHeight="1">
      <c r="F6566" s="14"/>
    </row>
    <row r="6567" ht="22.5" customHeight="1">
      <c r="F6567" s="14"/>
    </row>
    <row r="6568" ht="22.5" customHeight="1">
      <c r="F6568" s="14"/>
    </row>
    <row r="6569" ht="22.5" customHeight="1">
      <c r="F6569" s="14"/>
    </row>
    <row r="6570" ht="22.5" customHeight="1">
      <c r="F6570" s="14"/>
    </row>
    <row r="6571" ht="22.5" customHeight="1">
      <c r="F6571" s="14"/>
    </row>
    <row r="6572" ht="22.5" customHeight="1">
      <c r="F6572" s="14"/>
    </row>
    <row r="6573" ht="22.5" customHeight="1">
      <c r="F6573" s="14"/>
    </row>
    <row r="6574" ht="22.5" customHeight="1">
      <c r="F6574" s="14"/>
    </row>
    <row r="6575" ht="22.5" customHeight="1">
      <c r="F6575" s="14"/>
    </row>
    <row r="6576" ht="22.5" customHeight="1">
      <c r="F6576" s="14"/>
    </row>
    <row r="6577" ht="22.5" customHeight="1">
      <c r="F6577" s="14"/>
    </row>
    <row r="6578" ht="22.5" customHeight="1">
      <c r="F6578" s="14"/>
    </row>
    <row r="6579" ht="22.5" customHeight="1">
      <c r="F6579" s="14"/>
    </row>
    <row r="6580" ht="22.5" customHeight="1">
      <c r="F6580" s="14"/>
    </row>
    <row r="6581" ht="22.5" customHeight="1">
      <c r="F6581" s="14"/>
    </row>
    <row r="6582" ht="22.5" customHeight="1">
      <c r="F6582" s="14"/>
    </row>
    <row r="6583" ht="22.5" customHeight="1">
      <c r="F6583" s="14"/>
    </row>
    <row r="6584" ht="22.5" customHeight="1">
      <c r="F6584" s="14"/>
    </row>
    <row r="6585" ht="22.5" customHeight="1">
      <c r="F6585" s="14"/>
    </row>
    <row r="6586" ht="22.5" customHeight="1">
      <c r="F6586" s="14"/>
    </row>
    <row r="6587" ht="22.5" customHeight="1">
      <c r="F6587" s="14"/>
    </row>
    <row r="6588" ht="22.5" customHeight="1">
      <c r="F6588" s="14"/>
    </row>
    <row r="6589" ht="22.5" customHeight="1">
      <c r="F6589" s="14"/>
    </row>
    <row r="6590" ht="22.5" customHeight="1">
      <c r="F6590" s="14"/>
    </row>
    <row r="6591" ht="22.5" customHeight="1">
      <c r="F6591" s="14"/>
    </row>
    <row r="6592" ht="22.5" customHeight="1">
      <c r="F6592" s="14"/>
    </row>
    <row r="6593" ht="22.5" customHeight="1">
      <c r="F6593" s="14"/>
    </row>
    <row r="6594" ht="22.5" customHeight="1">
      <c r="F6594" s="14"/>
    </row>
    <row r="6595" ht="22.5" customHeight="1">
      <c r="F6595" s="14"/>
    </row>
    <row r="6596" ht="22.5" customHeight="1">
      <c r="F6596" s="14"/>
    </row>
    <row r="6597" ht="22.5" customHeight="1">
      <c r="F6597" s="14"/>
    </row>
    <row r="6598" ht="22.5" customHeight="1">
      <c r="F6598" s="14"/>
    </row>
    <row r="6599" ht="22.5" customHeight="1">
      <c r="F6599" s="14"/>
    </row>
    <row r="6600" ht="22.5" customHeight="1">
      <c r="F6600" s="14"/>
    </row>
    <row r="6601" ht="22.5" customHeight="1">
      <c r="F6601" s="14"/>
    </row>
    <row r="6602" ht="22.5" customHeight="1">
      <c r="F6602" s="14"/>
    </row>
    <row r="6603" ht="22.5" customHeight="1">
      <c r="F6603" s="14"/>
    </row>
    <row r="6604" ht="22.5" customHeight="1">
      <c r="F6604" s="14"/>
    </row>
    <row r="6605" ht="22.5" customHeight="1">
      <c r="F6605" s="14"/>
    </row>
    <row r="6606" ht="22.5" customHeight="1">
      <c r="F6606" s="14"/>
    </row>
    <row r="6607" ht="22.5" customHeight="1">
      <c r="F6607" s="14"/>
    </row>
    <row r="6608" ht="22.5" customHeight="1">
      <c r="F6608" s="14"/>
    </row>
    <row r="6609" ht="22.5" customHeight="1">
      <c r="F6609" s="14"/>
    </row>
    <row r="6610" ht="22.5" customHeight="1">
      <c r="F6610" s="14"/>
    </row>
    <row r="6611" ht="22.5" customHeight="1">
      <c r="F6611" s="14"/>
    </row>
    <row r="6612" ht="22.5" customHeight="1">
      <c r="F6612" s="14"/>
    </row>
    <row r="6613" ht="22.5" customHeight="1">
      <c r="F6613" s="14"/>
    </row>
    <row r="6614" ht="22.5" customHeight="1">
      <c r="F6614" s="14"/>
    </row>
    <row r="6615" ht="22.5" customHeight="1">
      <c r="F6615" s="14"/>
    </row>
    <row r="6616" ht="22.5" customHeight="1">
      <c r="F6616" s="14"/>
    </row>
    <row r="6617" ht="22.5" customHeight="1">
      <c r="F6617" s="14"/>
    </row>
    <row r="6618" ht="22.5" customHeight="1">
      <c r="F6618" s="14"/>
    </row>
    <row r="6619" ht="22.5" customHeight="1">
      <c r="F6619" s="14"/>
    </row>
    <row r="6620" ht="22.5" customHeight="1">
      <c r="F6620" s="14"/>
    </row>
    <row r="6621" ht="22.5" customHeight="1">
      <c r="F6621" s="14"/>
    </row>
    <row r="6622" ht="22.5" customHeight="1">
      <c r="F6622" s="14"/>
    </row>
    <row r="6623" ht="22.5" customHeight="1">
      <c r="F6623" s="14"/>
    </row>
    <row r="6624" ht="22.5" customHeight="1">
      <c r="F6624" s="14"/>
    </row>
    <row r="6625" ht="22.5" customHeight="1">
      <c r="F6625" s="14"/>
    </row>
    <row r="6626" ht="22.5" customHeight="1">
      <c r="F6626" s="14"/>
    </row>
    <row r="6627" ht="22.5" customHeight="1">
      <c r="F6627" s="14"/>
    </row>
    <row r="6628" ht="22.5" customHeight="1">
      <c r="F6628" s="14"/>
    </row>
    <row r="6629" ht="22.5" customHeight="1">
      <c r="F6629" s="14"/>
    </row>
    <row r="6630" ht="22.5" customHeight="1">
      <c r="F6630" s="14"/>
    </row>
    <row r="6631" ht="22.5" customHeight="1">
      <c r="F6631" s="14"/>
    </row>
    <row r="6632" ht="22.5" customHeight="1">
      <c r="F6632" s="14"/>
    </row>
    <row r="6633" ht="22.5" customHeight="1">
      <c r="F6633" s="14"/>
    </row>
    <row r="6634" ht="22.5" customHeight="1">
      <c r="F6634" s="14"/>
    </row>
    <row r="6635" ht="22.5" customHeight="1">
      <c r="F6635" s="14"/>
    </row>
    <row r="6636" ht="22.5" customHeight="1">
      <c r="F6636" s="14"/>
    </row>
    <row r="6637" ht="22.5" customHeight="1">
      <c r="F6637" s="14"/>
    </row>
    <row r="6638" ht="22.5" customHeight="1">
      <c r="F6638" s="14"/>
    </row>
    <row r="6639" ht="22.5" customHeight="1">
      <c r="F6639" s="14"/>
    </row>
    <row r="6640" ht="22.5" customHeight="1">
      <c r="F6640" s="14"/>
    </row>
    <row r="6641" ht="22.5" customHeight="1">
      <c r="F6641" s="14"/>
    </row>
    <row r="6642" ht="22.5" customHeight="1">
      <c r="F6642" s="14"/>
    </row>
    <row r="6643" ht="22.5" customHeight="1">
      <c r="F6643" s="14"/>
    </row>
    <row r="6644" ht="22.5" customHeight="1">
      <c r="F6644" s="14"/>
    </row>
    <row r="6645" ht="22.5" customHeight="1">
      <c r="F6645" s="14"/>
    </row>
    <row r="6646" ht="22.5" customHeight="1">
      <c r="F6646" s="14"/>
    </row>
    <row r="6647" ht="22.5" customHeight="1">
      <c r="F6647" s="14"/>
    </row>
    <row r="6648" ht="22.5" customHeight="1">
      <c r="F6648" s="14"/>
    </row>
    <row r="6649" ht="22.5" customHeight="1">
      <c r="F6649" s="14"/>
    </row>
    <row r="6650" ht="22.5" customHeight="1">
      <c r="F6650" s="14"/>
    </row>
    <row r="6651" ht="22.5" customHeight="1">
      <c r="F6651" s="14"/>
    </row>
    <row r="6652" ht="22.5" customHeight="1">
      <c r="F6652" s="14"/>
    </row>
    <row r="6653" ht="22.5" customHeight="1">
      <c r="F6653" s="14"/>
    </row>
    <row r="6654" ht="22.5" customHeight="1">
      <c r="F6654" s="14"/>
    </row>
    <row r="6655" ht="22.5" customHeight="1">
      <c r="F6655" s="14"/>
    </row>
    <row r="6656" ht="22.5" customHeight="1">
      <c r="F6656" s="14"/>
    </row>
    <row r="6657" ht="22.5" customHeight="1">
      <c r="F6657" s="14"/>
    </row>
    <row r="6658" ht="22.5" customHeight="1">
      <c r="F6658" s="14"/>
    </row>
    <row r="6659" ht="22.5" customHeight="1">
      <c r="F6659" s="14"/>
    </row>
    <row r="6660" ht="22.5" customHeight="1">
      <c r="F6660" s="14"/>
    </row>
    <row r="6661" ht="22.5" customHeight="1">
      <c r="F6661" s="14"/>
    </row>
    <row r="6662" ht="22.5" customHeight="1">
      <c r="F6662" s="14"/>
    </row>
    <row r="6663" ht="22.5" customHeight="1">
      <c r="F6663" s="14"/>
    </row>
    <row r="6664" ht="22.5" customHeight="1">
      <c r="F6664" s="14"/>
    </row>
    <row r="6665" ht="22.5" customHeight="1">
      <c r="F6665" s="14"/>
    </row>
    <row r="6666" ht="22.5" customHeight="1">
      <c r="F6666" s="14"/>
    </row>
    <row r="6667" ht="22.5" customHeight="1">
      <c r="F6667" s="14"/>
    </row>
    <row r="6668" ht="22.5" customHeight="1">
      <c r="F6668" s="14"/>
    </row>
    <row r="6669" ht="22.5" customHeight="1">
      <c r="F6669" s="14"/>
    </row>
    <row r="6670" ht="22.5" customHeight="1">
      <c r="F6670" s="14"/>
    </row>
    <row r="6671" ht="22.5" customHeight="1">
      <c r="F6671" s="14"/>
    </row>
    <row r="6672" ht="22.5" customHeight="1">
      <c r="F6672" s="14"/>
    </row>
    <row r="6673" ht="22.5" customHeight="1">
      <c r="F6673" s="14"/>
    </row>
    <row r="6674" ht="22.5" customHeight="1">
      <c r="F6674" s="14"/>
    </row>
    <row r="6675" ht="22.5" customHeight="1">
      <c r="F6675" s="14"/>
    </row>
    <row r="6676" ht="22.5" customHeight="1">
      <c r="F6676" s="14"/>
    </row>
    <row r="6677" ht="22.5" customHeight="1">
      <c r="F6677" s="14"/>
    </row>
    <row r="6678" ht="22.5" customHeight="1">
      <c r="F6678" s="14"/>
    </row>
    <row r="6679" ht="22.5" customHeight="1">
      <c r="F6679" s="14"/>
    </row>
    <row r="6680" ht="22.5" customHeight="1">
      <c r="F6680" s="14"/>
    </row>
    <row r="6681" ht="22.5" customHeight="1">
      <c r="F6681" s="14"/>
    </row>
    <row r="6682" ht="22.5" customHeight="1">
      <c r="F6682" s="14"/>
    </row>
    <row r="6683" ht="22.5" customHeight="1">
      <c r="F6683" s="14"/>
    </row>
    <row r="6684" ht="22.5" customHeight="1">
      <c r="F6684" s="14"/>
    </row>
    <row r="6685" ht="22.5" customHeight="1">
      <c r="F6685" s="14"/>
    </row>
    <row r="6686" ht="22.5" customHeight="1">
      <c r="F6686" s="14"/>
    </row>
    <row r="6687" ht="22.5" customHeight="1">
      <c r="F6687" s="14"/>
    </row>
    <row r="6688" ht="22.5" customHeight="1">
      <c r="F6688" s="14"/>
    </row>
    <row r="6689" ht="22.5" customHeight="1">
      <c r="F6689" s="14"/>
    </row>
    <row r="6690" ht="22.5" customHeight="1">
      <c r="F6690" s="14"/>
    </row>
    <row r="6691" ht="22.5" customHeight="1">
      <c r="F6691" s="14"/>
    </row>
    <row r="6692" ht="22.5" customHeight="1">
      <c r="F6692" s="14"/>
    </row>
    <row r="6693" ht="22.5" customHeight="1">
      <c r="F6693" s="14"/>
    </row>
    <row r="6694" ht="22.5" customHeight="1">
      <c r="F6694" s="14"/>
    </row>
    <row r="6695" ht="22.5" customHeight="1">
      <c r="F6695" s="14"/>
    </row>
    <row r="6696" ht="22.5" customHeight="1">
      <c r="F6696" s="14"/>
    </row>
    <row r="6697" ht="22.5" customHeight="1">
      <c r="F6697" s="14"/>
    </row>
    <row r="6698" ht="22.5" customHeight="1">
      <c r="F6698" s="14"/>
    </row>
    <row r="6699" ht="22.5" customHeight="1">
      <c r="F6699" s="14"/>
    </row>
    <row r="6700" ht="22.5" customHeight="1">
      <c r="F6700" s="14"/>
    </row>
    <row r="6701" ht="22.5" customHeight="1">
      <c r="F6701" s="14"/>
    </row>
    <row r="6702" ht="22.5" customHeight="1">
      <c r="F6702" s="14"/>
    </row>
    <row r="6703" ht="22.5" customHeight="1">
      <c r="F6703" s="14"/>
    </row>
    <row r="6704" ht="22.5" customHeight="1">
      <c r="F6704" s="14"/>
    </row>
    <row r="6705" ht="22.5" customHeight="1">
      <c r="F6705" s="14"/>
    </row>
    <row r="6706" ht="22.5" customHeight="1">
      <c r="F6706" s="14"/>
    </row>
    <row r="6707" ht="22.5" customHeight="1">
      <c r="F6707" s="14"/>
    </row>
    <row r="6708" ht="22.5" customHeight="1">
      <c r="F6708" s="14"/>
    </row>
    <row r="6709" ht="22.5" customHeight="1">
      <c r="F6709" s="14"/>
    </row>
    <row r="6710" ht="22.5" customHeight="1">
      <c r="F6710" s="14"/>
    </row>
    <row r="6711" ht="22.5" customHeight="1">
      <c r="F6711" s="14"/>
    </row>
    <row r="6712" ht="22.5" customHeight="1">
      <c r="F6712" s="14"/>
    </row>
    <row r="6713" ht="22.5" customHeight="1">
      <c r="F6713" s="14"/>
    </row>
    <row r="6714" ht="22.5" customHeight="1">
      <c r="F6714" s="14"/>
    </row>
    <row r="6715" ht="22.5" customHeight="1">
      <c r="F6715" s="14"/>
    </row>
    <row r="6716" ht="22.5" customHeight="1">
      <c r="F6716" s="14"/>
    </row>
    <row r="6717" ht="22.5" customHeight="1">
      <c r="F6717" s="14"/>
    </row>
    <row r="6718" ht="22.5" customHeight="1">
      <c r="F6718" s="14"/>
    </row>
    <row r="6719" ht="22.5" customHeight="1">
      <c r="F6719" s="14"/>
    </row>
    <row r="6720" ht="22.5" customHeight="1">
      <c r="F6720" s="14"/>
    </row>
    <row r="6721" ht="22.5" customHeight="1">
      <c r="F6721" s="14"/>
    </row>
    <row r="6722" ht="22.5" customHeight="1">
      <c r="F6722" s="14"/>
    </row>
    <row r="6723" ht="22.5" customHeight="1">
      <c r="F6723" s="14"/>
    </row>
    <row r="6724" ht="22.5" customHeight="1">
      <c r="F6724" s="14"/>
    </row>
    <row r="6725" ht="22.5" customHeight="1">
      <c r="F6725" s="14"/>
    </row>
    <row r="6726" ht="22.5" customHeight="1">
      <c r="F6726" s="14"/>
    </row>
    <row r="6727" ht="22.5" customHeight="1">
      <c r="F6727" s="14"/>
    </row>
    <row r="6728" ht="22.5" customHeight="1">
      <c r="F6728" s="14"/>
    </row>
    <row r="6729" ht="22.5" customHeight="1">
      <c r="F6729" s="14"/>
    </row>
    <row r="6730" ht="22.5" customHeight="1">
      <c r="F6730" s="14"/>
    </row>
    <row r="6731" ht="22.5" customHeight="1">
      <c r="F6731" s="14"/>
    </row>
    <row r="6732" ht="22.5" customHeight="1">
      <c r="F6732" s="14"/>
    </row>
    <row r="6733" ht="22.5" customHeight="1">
      <c r="F6733" s="14"/>
    </row>
    <row r="6734" ht="22.5" customHeight="1">
      <c r="F6734" s="14"/>
    </row>
    <row r="6735" ht="22.5" customHeight="1">
      <c r="F6735" s="14"/>
    </row>
    <row r="6736" ht="22.5" customHeight="1">
      <c r="F6736" s="14"/>
    </row>
    <row r="6737" ht="22.5" customHeight="1">
      <c r="F6737" s="14"/>
    </row>
    <row r="6738" ht="22.5" customHeight="1">
      <c r="F6738" s="14"/>
    </row>
    <row r="6739" ht="22.5" customHeight="1">
      <c r="F6739" s="14"/>
    </row>
    <row r="6740" ht="22.5" customHeight="1">
      <c r="F6740" s="14"/>
    </row>
    <row r="6741" ht="22.5" customHeight="1">
      <c r="F6741" s="14"/>
    </row>
    <row r="6742" ht="22.5" customHeight="1">
      <c r="F6742" s="14"/>
    </row>
    <row r="6743" ht="22.5" customHeight="1">
      <c r="F6743" s="14"/>
    </row>
    <row r="6744" ht="22.5" customHeight="1">
      <c r="F6744" s="14"/>
    </row>
    <row r="6745" ht="22.5" customHeight="1">
      <c r="F6745" s="14"/>
    </row>
    <row r="6746" ht="22.5" customHeight="1">
      <c r="F6746" s="14"/>
    </row>
    <row r="6747" ht="22.5" customHeight="1">
      <c r="F6747" s="14"/>
    </row>
    <row r="6748" ht="22.5" customHeight="1">
      <c r="F6748" s="14"/>
    </row>
    <row r="6749" ht="22.5" customHeight="1">
      <c r="F6749" s="14"/>
    </row>
    <row r="6750" ht="22.5" customHeight="1">
      <c r="F6750" s="14"/>
    </row>
    <row r="6751" ht="22.5" customHeight="1">
      <c r="F6751" s="14"/>
    </row>
    <row r="6752" ht="22.5" customHeight="1">
      <c r="F6752" s="14"/>
    </row>
    <row r="6753" ht="22.5" customHeight="1">
      <c r="F6753" s="14"/>
    </row>
    <row r="6754" ht="22.5" customHeight="1">
      <c r="F6754" s="14"/>
    </row>
    <row r="6755" ht="22.5" customHeight="1">
      <c r="F6755" s="14"/>
    </row>
    <row r="6756" ht="22.5" customHeight="1">
      <c r="F6756" s="14"/>
    </row>
    <row r="6757" ht="22.5" customHeight="1">
      <c r="F6757" s="14"/>
    </row>
    <row r="6758" ht="22.5" customHeight="1">
      <c r="F6758" s="14"/>
    </row>
    <row r="6759" ht="22.5" customHeight="1">
      <c r="F6759" s="14"/>
    </row>
    <row r="6760" ht="22.5" customHeight="1">
      <c r="F6760" s="14"/>
    </row>
    <row r="6761" ht="22.5" customHeight="1">
      <c r="F6761" s="14"/>
    </row>
    <row r="6762" ht="22.5" customHeight="1">
      <c r="F6762" s="14"/>
    </row>
    <row r="6763" ht="22.5" customHeight="1">
      <c r="F6763" s="14"/>
    </row>
    <row r="6764" ht="22.5" customHeight="1">
      <c r="F6764" s="14"/>
    </row>
    <row r="6765" ht="22.5" customHeight="1">
      <c r="F6765" s="14"/>
    </row>
    <row r="6766" ht="22.5" customHeight="1">
      <c r="F6766" s="14"/>
    </row>
    <row r="6767" ht="22.5" customHeight="1">
      <c r="F6767" s="14"/>
    </row>
    <row r="6768" ht="22.5" customHeight="1">
      <c r="F6768" s="14"/>
    </row>
    <row r="6769" ht="22.5" customHeight="1">
      <c r="F6769" s="14"/>
    </row>
    <row r="6770" ht="22.5" customHeight="1">
      <c r="F6770" s="14"/>
    </row>
    <row r="6771" ht="22.5" customHeight="1">
      <c r="F6771" s="14"/>
    </row>
    <row r="6772" ht="22.5" customHeight="1">
      <c r="F6772" s="14"/>
    </row>
    <row r="6773" ht="22.5" customHeight="1">
      <c r="F6773" s="14"/>
    </row>
    <row r="6774" ht="22.5" customHeight="1">
      <c r="F6774" s="14"/>
    </row>
    <row r="6775" ht="22.5" customHeight="1">
      <c r="F6775" s="14"/>
    </row>
    <row r="6776" ht="22.5" customHeight="1">
      <c r="F6776" s="14"/>
    </row>
    <row r="6777" ht="22.5" customHeight="1">
      <c r="F6777" s="14"/>
    </row>
    <row r="6778" ht="22.5" customHeight="1">
      <c r="F6778" s="14"/>
    </row>
    <row r="6779" ht="22.5" customHeight="1">
      <c r="F6779" s="14"/>
    </row>
    <row r="6780" ht="22.5" customHeight="1">
      <c r="F6780" s="14"/>
    </row>
    <row r="6781" ht="22.5" customHeight="1">
      <c r="F6781" s="14"/>
    </row>
    <row r="6782" ht="22.5" customHeight="1">
      <c r="F6782" s="14"/>
    </row>
    <row r="6783" ht="22.5" customHeight="1">
      <c r="F6783" s="14"/>
    </row>
    <row r="6784" ht="22.5" customHeight="1">
      <c r="F6784" s="14"/>
    </row>
    <row r="6785" ht="22.5" customHeight="1">
      <c r="F6785" s="14"/>
    </row>
    <row r="6786" ht="22.5" customHeight="1">
      <c r="F6786" s="14"/>
    </row>
    <row r="6787" ht="22.5" customHeight="1">
      <c r="F6787" s="14"/>
    </row>
    <row r="6788" ht="22.5" customHeight="1">
      <c r="F6788" s="14"/>
    </row>
    <row r="6789" ht="22.5" customHeight="1">
      <c r="F6789" s="14"/>
    </row>
    <row r="6790" ht="22.5" customHeight="1">
      <c r="F6790" s="14"/>
    </row>
    <row r="6791" ht="22.5" customHeight="1">
      <c r="F6791" s="14"/>
    </row>
    <row r="6792" ht="22.5" customHeight="1">
      <c r="F6792" s="14"/>
    </row>
    <row r="6793" ht="22.5" customHeight="1">
      <c r="F6793" s="14"/>
    </row>
    <row r="6794" ht="22.5" customHeight="1">
      <c r="F6794" s="14"/>
    </row>
    <row r="6795" ht="22.5" customHeight="1">
      <c r="F6795" s="14"/>
    </row>
    <row r="6796" ht="22.5" customHeight="1">
      <c r="F6796" s="14"/>
    </row>
    <row r="6797" ht="22.5" customHeight="1">
      <c r="F6797" s="14"/>
    </row>
    <row r="6798" ht="22.5" customHeight="1">
      <c r="F6798" s="14"/>
    </row>
    <row r="6799" ht="22.5" customHeight="1">
      <c r="F6799" s="14"/>
    </row>
    <row r="6800" ht="22.5" customHeight="1">
      <c r="F6800" s="14"/>
    </row>
    <row r="6801" ht="22.5" customHeight="1">
      <c r="F6801" s="14"/>
    </row>
    <row r="6802" ht="22.5" customHeight="1">
      <c r="F6802" s="14"/>
    </row>
    <row r="6803" ht="22.5" customHeight="1">
      <c r="F6803" s="14"/>
    </row>
    <row r="6804" ht="22.5" customHeight="1">
      <c r="F6804" s="14"/>
    </row>
    <row r="6805" ht="22.5" customHeight="1">
      <c r="F6805" s="14"/>
    </row>
    <row r="6806" ht="22.5" customHeight="1">
      <c r="F6806" s="14"/>
    </row>
    <row r="6807" ht="22.5" customHeight="1">
      <c r="F6807" s="14"/>
    </row>
    <row r="6808" ht="22.5" customHeight="1">
      <c r="F6808" s="14"/>
    </row>
    <row r="6809" ht="22.5" customHeight="1">
      <c r="F6809" s="14"/>
    </row>
    <row r="6810" ht="22.5" customHeight="1">
      <c r="F6810" s="14"/>
    </row>
    <row r="6811" ht="22.5" customHeight="1">
      <c r="F6811" s="14"/>
    </row>
    <row r="6812" ht="22.5" customHeight="1">
      <c r="F6812" s="14"/>
    </row>
    <row r="6813" ht="22.5" customHeight="1">
      <c r="F6813" s="14"/>
    </row>
    <row r="6814" ht="22.5" customHeight="1">
      <c r="F6814" s="14"/>
    </row>
    <row r="6815" ht="22.5" customHeight="1">
      <c r="F6815" s="14"/>
    </row>
    <row r="6816" ht="22.5" customHeight="1">
      <c r="F6816" s="14"/>
    </row>
    <row r="6817" ht="22.5" customHeight="1">
      <c r="F6817" s="14"/>
    </row>
    <row r="6818" ht="22.5" customHeight="1">
      <c r="F6818" s="14"/>
    </row>
    <row r="6819" ht="22.5" customHeight="1">
      <c r="F6819" s="14"/>
    </row>
    <row r="6820" ht="22.5" customHeight="1">
      <c r="F6820" s="14"/>
    </row>
    <row r="6821" ht="22.5" customHeight="1">
      <c r="F6821" s="14"/>
    </row>
    <row r="6822" ht="22.5" customHeight="1">
      <c r="F6822" s="14"/>
    </row>
    <row r="6823" ht="22.5" customHeight="1">
      <c r="F6823" s="14"/>
    </row>
    <row r="6824" ht="22.5" customHeight="1">
      <c r="F6824" s="14"/>
    </row>
    <row r="6825" ht="22.5" customHeight="1">
      <c r="F6825" s="14"/>
    </row>
    <row r="6826" ht="22.5" customHeight="1">
      <c r="F6826" s="14"/>
    </row>
    <row r="6827" ht="22.5" customHeight="1">
      <c r="F6827" s="14"/>
    </row>
    <row r="6828" ht="22.5" customHeight="1">
      <c r="F6828" s="14"/>
    </row>
    <row r="6829" ht="22.5" customHeight="1">
      <c r="F6829" s="14"/>
    </row>
    <row r="6830" ht="22.5" customHeight="1">
      <c r="F6830" s="14"/>
    </row>
    <row r="6831" ht="22.5" customHeight="1">
      <c r="F6831" s="14"/>
    </row>
    <row r="6832" ht="22.5" customHeight="1">
      <c r="F6832" s="14"/>
    </row>
    <row r="6833" ht="22.5" customHeight="1">
      <c r="F6833" s="14"/>
    </row>
    <row r="6834" ht="22.5" customHeight="1">
      <c r="F6834" s="14"/>
    </row>
    <row r="6835" ht="22.5" customHeight="1">
      <c r="F6835" s="14"/>
    </row>
    <row r="6836" ht="22.5" customHeight="1">
      <c r="F6836" s="14"/>
    </row>
    <row r="6837" ht="22.5" customHeight="1">
      <c r="F6837" s="14"/>
    </row>
    <row r="6838" ht="22.5" customHeight="1">
      <c r="F6838" s="14"/>
    </row>
    <row r="6839" ht="22.5" customHeight="1">
      <c r="F6839" s="14"/>
    </row>
    <row r="6840" ht="22.5" customHeight="1">
      <c r="F6840" s="14"/>
    </row>
    <row r="6841" ht="22.5" customHeight="1">
      <c r="F6841" s="14"/>
    </row>
    <row r="6842" ht="22.5" customHeight="1">
      <c r="F6842" s="14"/>
    </row>
    <row r="6843" ht="22.5" customHeight="1">
      <c r="F6843" s="14"/>
    </row>
    <row r="6844" ht="22.5" customHeight="1">
      <c r="F6844" s="14"/>
    </row>
    <row r="6845" ht="22.5" customHeight="1">
      <c r="F6845" s="14"/>
    </row>
    <row r="6846" ht="22.5" customHeight="1">
      <c r="F6846" s="14"/>
    </row>
    <row r="6847" ht="22.5" customHeight="1">
      <c r="F6847" s="14"/>
    </row>
    <row r="6848" ht="22.5" customHeight="1">
      <c r="F6848" s="14"/>
    </row>
    <row r="6849" ht="22.5" customHeight="1">
      <c r="F6849" s="14"/>
    </row>
    <row r="6850" ht="22.5" customHeight="1">
      <c r="F6850" s="14"/>
    </row>
    <row r="6851" ht="22.5" customHeight="1">
      <c r="F6851" s="14"/>
    </row>
    <row r="6852" ht="22.5" customHeight="1">
      <c r="F6852" s="14"/>
    </row>
    <row r="6853" ht="22.5" customHeight="1">
      <c r="F6853" s="14"/>
    </row>
    <row r="6854" ht="22.5" customHeight="1">
      <c r="F6854" s="14"/>
    </row>
    <row r="6855" ht="22.5" customHeight="1">
      <c r="F6855" s="14"/>
    </row>
    <row r="6856" ht="22.5" customHeight="1">
      <c r="F6856" s="14"/>
    </row>
    <row r="6857" ht="22.5" customHeight="1">
      <c r="F6857" s="14"/>
    </row>
    <row r="6858" ht="22.5" customHeight="1">
      <c r="F6858" s="14"/>
    </row>
    <row r="6859" ht="22.5" customHeight="1">
      <c r="F6859" s="14"/>
    </row>
    <row r="6860" ht="22.5" customHeight="1">
      <c r="F6860" s="14"/>
    </row>
    <row r="6861" ht="22.5" customHeight="1">
      <c r="F6861" s="14"/>
    </row>
    <row r="6862" ht="22.5" customHeight="1">
      <c r="F6862" s="14"/>
    </row>
    <row r="6863" ht="22.5" customHeight="1">
      <c r="F6863" s="14"/>
    </row>
    <row r="6864" ht="22.5" customHeight="1">
      <c r="F6864" s="14"/>
    </row>
    <row r="6865" ht="22.5" customHeight="1">
      <c r="F6865" s="14"/>
    </row>
    <row r="6866" ht="22.5" customHeight="1">
      <c r="F6866" s="14"/>
    </row>
    <row r="6867" ht="22.5" customHeight="1">
      <c r="F6867" s="14"/>
    </row>
    <row r="6868" ht="22.5" customHeight="1">
      <c r="F6868" s="14"/>
    </row>
    <row r="6869" ht="22.5" customHeight="1">
      <c r="F6869" s="14"/>
    </row>
    <row r="6870" ht="22.5" customHeight="1">
      <c r="F6870" s="14"/>
    </row>
    <row r="6871" ht="22.5" customHeight="1">
      <c r="F6871" s="14"/>
    </row>
    <row r="6872" ht="22.5" customHeight="1">
      <c r="F6872" s="14"/>
    </row>
    <row r="6873" ht="22.5" customHeight="1">
      <c r="F6873" s="14"/>
    </row>
    <row r="6874" ht="22.5" customHeight="1">
      <c r="F6874" s="14"/>
    </row>
    <row r="6875" ht="22.5" customHeight="1">
      <c r="F6875" s="14"/>
    </row>
    <row r="6876" ht="22.5" customHeight="1">
      <c r="F6876" s="14"/>
    </row>
    <row r="6877" ht="22.5" customHeight="1">
      <c r="F6877" s="14"/>
    </row>
    <row r="6878" ht="22.5" customHeight="1">
      <c r="F6878" s="14"/>
    </row>
    <row r="6879" ht="22.5" customHeight="1">
      <c r="F6879" s="14"/>
    </row>
    <row r="6880" ht="22.5" customHeight="1">
      <c r="F6880" s="14"/>
    </row>
    <row r="6881" ht="22.5" customHeight="1">
      <c r="F6881" s="14"/>
    </row>
    <row r="6882" ht="22.5" customHeight="1">
      <c r="F6882" s="14"/>
    </row>
    <row r="6883" ht="22.5" customHeight="1">
      <c r="F6883" s="14"/>
    </row>
    <row r="6884" ht="22.5" customHeight="1">
      <c r="F6884" s="14"/>
    </row>
    <row r="6885" ht="22.5" customHeight="1">
      <c r="F6885" s="14"/>
    </row>
    <row r="6886" ht="22.5" customHeight="1">
      <c r="F6886" s="14"/>
    </row>
    <row r="6887" ht="22.5" customHeight="1">
      <c r="F6887" s="14"/>
    </row>
    <row r="6888" ht="22.5" customHeight="1">
      <c r="F6888" s="14"/>
    </row>
    <row r="6889" ht="22.5" customHeight="1">
      <c r="F6889" s="14"/>
    </row>
    <row r="6890" ht="22.5" customHeight="1">
      <c r="F6890" s="14"/>
    </row>
    <row r="6891" ht="22.5" customHeight="1">
      <c r="F6891" s="14"/>
    </row>
    <row r="6892" ht="22.5" customHeight="1">
      <c r="F6892" s="14"/>
    </row>
    <row r="6893" ht="22.5" customHeight="1">
      <c r="F6893" s="14"/>
    </row>
    <row r="6894" ht="22.5" customHeight="1">
      <c r="F6894" s="14"/>
    </row>
    <row r="6895" ht="22.5" customHeight="1">
      <c r="F6895" s="14"/>
    </row>
    <row r="6896" ht="22.5" customHeight="1">
      <c r="F6896" s="14"/>
    </row>
    <row r="6897" ht="22.5" customHeight="1">
      <c r="F6897" s="14"/>
    </row>
    <row r="6898" ht="22.5" customHeight="1">
      <c r="F6898" s="14"/>
    </row>
    <row r="6899" ht="22.5" customHeight="1">
      <c r="F6899" s="14"/>
    </row>
    <row r="6900" ht="22.5" customHeight="1">
      <c r="F6900" s="14"/>
    </row>
    <row r="6901" ht="22.5" customHeight="1">
      <c r="F6901" s="14"/>
    </row>
    <row r="6902" ht="22.5" customHeight="1">
      <c r="F6902" s="14"/>
    </row>
    <row r="6903" ht="22.5" customHeight="1">
      <c r="F6903" s="14"/>
    </row>
    <row r="6904" ht="22.5" customHeight="1">
      <c r="F6904" s="14"/>
    </row>
    <row r="6905" ht="22.5" customHeight="1">
      <c r="F6905" s="14"/>
    </row>
    <row r="6906" ht="22.5" customHeight="1">
      <c r="F6906" s="14"/>
    </row>
    <row r="6907" ht="22.5" customHeight="1">
      <c r="F6907" s="14"/>
    </row>
    <row r="6908" ht="22.5" customHeight="1">
      <c r="F6908" s="14"/>
    </row>
    <row r="6909" ht="22.5" customHeight="1">
      <c r="F6909" s="14"/>
    </row>
    <row r="6910" ht="22.5" customHeight="1">
      <c r="F6910" s="14"/>
    </row>
    <row r="6911" ht="22.5" customHeight="1">
      <c r="F6911" s="14"/>
    </row>
    <row r="6912" ht="22.5" customHeight="1">
      <c r="F6912" s="14"/>
    </row>
    <row r="6913" ht="22.5" customHeight="1">
      <c r="F6913" s="14"/>
    </row>
    <row r="6914" ht="22.5" customHeight="1">
      <c r="F6914" s="14"/>
    </row>
    <row r="6915" ht="22.5" customHeight="1">
      <c r="F6915" s="14"/>
    </row>
    <row r="6916" ht="22.5" customHeight="1">
      <c r="F6916" s="14"/>
    </row>
    <row r="6917" ht="22.5" customHeight="1">
      <c r="F6917" s="14"/>
    </row>
    <row r="6918" ht="22.5" customHeight="1">
      <c r="F6918" s="14"/>
    </row>
    <row r="6919" ht="22.5" customHeight="1">
      <c r="F6919" s="14"/>
    </row>
    <row r="6920" ht="22.5" customHeight="1">
      <c r="F6920" s="14"/>
    </row>
    <row r="6921" ht="22.5" customHeight="1">
      <c r="F6921" s="14"/>
    </row>
    <row r="6922" ht="22.5" customHeight="1">
      <c r="F6922" s="14"/>
    </row>
    <row r="6923" ht="22.5" customHeight="1">
      <c r="F6923" s="14"/>
    </row>
    <row r="6924" ht="22.5" customHeight="1">
      <c r="F6924" s="14"/>
    </row>
    <row r="6925" ht="22.5" customHeight="1">
      <c r="F6925" s="14"/>
    </row>
    <row r="6926" ht="22.5" customHeight="1">
      <c r="F6926" s="14"/>
    </row>
    <row r="6927" ht="22.5" customHeight="1">
      <c r="F6927" s="14"/>
    </row>
    <row r="6928" ht="22.5" customHeight="1">
      <c r="F6928" s="14"/>
    </row>
    <row r="6929" ht="22.5" customHeight="1">
      <c r="F6929" s="14"/>
    </row>
    <row r="6930" ht="22.5" customHeight="1">
      <c r="F6930" s="14"/>
    </row>
    <row r="6931" ht="22.5" customHeight="1">
      <c r="F6931" s="14"/>
    </row>
    <row r="6932" ht="22.5" customHeight="1">
      <c r="F6932" s="14"/>
    </row>
    <row r="6933" ht="22.5" customHeight="1">
      <c r="F6933" s="14"/>
    </row>
    <row r="6934" ht="22.5" customHeight="1">
      <c r="F6934" s="14"/>
    </row>
    <row r="6935" ht="22.5" customHeight="1">
      <c r="F6935" s="14"/>
    </row>
    <row r="6936" ht="22.5" customHeight="1">
      <c r="F6936" s="14"/>
    </row>
    <row r="6937" ht="22.5" customHeight="1">
      <c r="F6937" s="14"/>
    </row>
    <row r="6938" ht="22.5" customHeight="1">
      <c r="F6938" s="14"/>
    </row>
    <row r="6939" ht="22.5" customHeight="1">
      <c r="F6939" s="14"/>
    </row>
    <row r="6940" ht="22.5" customHeight="1">
      <c r="F6940" s="14"/>
    </row>
    <row r="6941" ht="22.5" customHeight="1">
      <c r="F6941" s="14"/>
    </row>
    <row r="6942" ht="22.5" customHeight="1">
      <c r="F6942" s="14"/>
    </row>
    <row r="6943" ht="22.5" customHeight="1">
      <c r="F6943" s="14"/>
    </row>
    <row r="6944" ht="22.5" customHeight="1">
      <c r="F6944" s="14"/>
    </row>
    <row r="6945" ht="22.5" customHeight="1">
      <c r="F6945" s="14"/>
    </row>
    <row r="6946" ht="22.5" customHeight="1">
      <c r="F6946" s="14"/>
    </row>
    <row r="6947" ht="22.5" customHeight="1">
      <c r="F6947" s="14"/>
    </row>
    <row r="6948" ht="22.5" customHeight="1">
      <c r="F6948" s="14"/>
    </row>
    <row r="6949" ht="22.5" customHeight="1">
      <c r="F6949" s="14"/>
    </row>
    <row r="6950" ht="22.5" customHeight="1">
      <c r="F6950" s="14"/>
    </row>
    <row r="6951" ht="22.5" customHeight="1">
      <c r="F6951" s="14"/>
    </row>
    <row r="6952" ht="22.5" customHeight="1">
      <c r="F6952" s="14"/>
    </row>
    <row r="6953" ht="22.5" customHeight="1">
      <c r="F6953" s="14"/>
    </row>
    <row r="6954" ht="22.5" customHeight="1">
      <c r="F6954" s="14"/>
    </row>
    <row r="6955" ht="22.5" customHeight="1">
      <c r="F6955" s="14"/>
    </row>
    <row r="6956" ht="22.5" customHeight="1">
      <c r="F6956" s="14"/>
    </row>
    <row r="6957" ht="22.5" customHeight="1">
      <c r="F6957" s="14"/>
    </row>
    <row r="6958" ht="22.5" customHeight="1">
      <c r="F6958" s="14"/>
    </row>
    <row r="6959" ht="22.5" customHeight="1">
      <c r="F6959" s="14"/>
    </row>
    <row r="6960" ht="22.5" customHeight="1">
      <c r="F6960" s="14"/>
    </row>
    <row r="6961" ht="22.5" customHeight="1">
      <c r="F6961" s="14"/>
    </row>
    <row r="6962" ht="22.5" customHeight="1">
      <c r="F6962" s="14"/>
    </row>
    <row r="6963" ht="22.5" customHeight="1">
      <c r="F6963" s="14"/>
    </row>
    <row r="6964" ht="22.5" customHeight="1">
      <c r="F6964" s="14"/>
    </row>
    <row r="6965" ht="22.5" customHeight="1">
      <c r="F6965" s="14"/>
    </row>
    <row r="6966" ht="22.5" customHeight="1">
      <c r="F6966" s="14"/>
    </row>
    <row r="6967" ht="22.5" customHeight="1">
      <c r="F6967" s="14"/>
    </row>
    <row r="6968" ht="22.5" customHeight="1">
      <c r="F6968" s="14"/>
    </row>
    <row r="6969" ht="22.5" customHeight="1">
      <c r="F6969" s="14"/>
    </row>
    <row r="6970" ht="22.5" customHeight="1">
      <c r="F6970" s="14"/>
    </row>
    <row r="6971" ht="22.5" customHeight="1">
      <c r="F6971" s="14"/>
    </row>
    <row r="6972" ht="22.5" customHeight="1">
      <c r="F6972" s="14"/>
    </row>
    <row r="6973" ht="22.5" customHeight="1">
      <c r="F6973" s="14"/>
    </row>
    <row r="6974" ht="22.5" customHeight="1">
      <c r="F6974" s="14"/>
    </row>
    <row r="6975" ht="22.5" customHeight="1">
      <c r="F6975" s="14"/>
    </row>
    <row r="6976" ht="22.5" customHeight="1">
      <c r="F6976" s="14"/>
    </row>
    <row r="6977" ht="22.5" customHeight="1">
      <c r="F6977" s="14"/>
    </row>
    <row r="6978" ht="22.5" customHeight="1">
      <c r="F6978" s="14"/>
    </row>
    <row r="6979" ht="22.5" customHeight="1">
      <c r="F6979" s="14"/>
    </row>
    <row r="6980" ht="22.5" customHeight="1">
      <c r="F6980" s="14"/>
    </row>
    <row r="6981" ht="22.5" customHeight="1">
      <c r="F6981" s="14"/>
    </row>
    <row r="6982" ht="22.5" customHeight="1">
      <c r="F6982" s="14"/>
    </row>
    <row r="6983" ht="22.5" customHeight="1">
      <c r="F6983" s="14"/>
    </row>
    <row r="6984" ht="22.5" customHeight="1">
      <c r="F6984" s="14"/>
    </row>
    <row r="6985" ht="22.5" customHeight="1">
      <c r="F6985" s="14"/>
    </row>
    <row r="6986" ht="22.5" customHeight="1">
      <c r="F6986" s="14"/>
    </row>
    <row r="6987" ht="22.5" customHeight="1">
      <c r="F6987" s="14"/>
    </row>
    <row r="6988" ht="22.5" customHeight="1">
      <c r="F6988" s="14"/>
    </row>
    <row r="6989" ht="22.5" customHeight="1">
      <c r="F6989" s="14"/>
    </row>
    <row r="6990" ht="22.5" customHeight="1">
      <c r="F6990" s="14"/>
    </row>
    <row r="6991" ht="22.5" customHeight="1">
      <c r="F6991" s="14"/>
    </row>
    <row r="6992" ht="22.5" customHeight="1">
      <c r="F6992" s="14"/>
    </row>
    <row r="6993" ht="22.5" customHeight="1">
      <c r="F6993" s="14"/>
    </row>
    <row r="6994" ht="22.5" customHeight="1">
      <c r="F6994" s="14"/>
    </row>
    <row r="6995" ht="22.5" customHeight="1">
      <c r="F6995" s="14"/>
    </row>
    <row r="6996" ht="22.5" customHeight="1">
      <c r="F6996" s="14"/>
    </row>
    <row r="6997" ht="22.5" customHeight="1">
      <c r="F6997" s="14"/>
    </row>
    <row r="6998" ht="22.5" customHeight="1">
      <c r="F6998" s="14"/>
    </row>
    <row r="6999" ht="22.5" customHeight="1">
      <c r="F6999" s="14"/>
    </row>
    <row r="7000" ht="22.5" customHeight="1">
      <c r="F7000" s="14"/>
    </row>
    <row r="7001" ht="22.5" customHeight="1">
      <c r="F7001" s="14"/>
    </row>
    <row r="7002" ht="22.5" customHeight="1">
      <c r="F7002" s="14"/>
    </row>
    <row r="7003" ht="22.5" customHeight="1">
      <c r="F7003" s="14"/>
    </row>
    <row r="7004" ht="22.5" customHeight="1">
      <c r="F7004" s="14"/>
    </row>
    <row r="7005" ht="22.5" customHeight="1">
      <c r="F7005" s="14"/>
    </row>
    <row r="7006" ht="22.5" customHeight="1">
      <c r="F7006" s="14"/>
    </row>
    <row r="7007" ht="22.5" customHeight="1">
      <c r="F7007" s="14"/>
    </row>
    <row r="7008" ht="22.5" customHeight="1">
      <c r="F7008" s="14"/>
    </row>
    <row r="7009" ht="22.5" customHeight="1">
      <c r="F7009" s="14"/>
    </row>
    <row r="7010" ht="22.5" customHeight="1">
      <c r="F7010" s="14"/>
    </row>
    <row r="7011" ht="22.5" customHeight="1">
      <c r="F7011" s="14"/>
    </row>
    <row r="7012" ht="22.5" customHeight="1">
      <c r="F7012" s="14"/>
    </row>
    <row r="7013" ht="22.5" customHeight="1">
      <c r="F7013" s="14"/>
    </row>
    <row r="7014" ht="22.5" customHeight="1">
      <c r="F7014" s="14"/>
    </row>
    <row r="7015" ht="22.5" customHeight="1">
      <c r="F7015" s="14"/>
    </row>
    <row r="7016" ht="22.5" customHeight="1">
      <c r="F7016" s="14"/>
    </row>
    <row r="7017" ht="22.5" customHeight="1">
      <c r="F7017" s="14"/>
    </row>
    <row r="7018" ht="22.5" customHeight="1">
      <c r="F7018" s="14"/>
    </row>
    <row r="7019" ht="22.5" customHeight="1">
      <c r="F7019" s="14"/>
    </row>
    <row r="7020" ht="22.5" customHeight="1">
      <c r="F7020" s="14"/>
    </row>
    <row r="7021" ht="22.5" customHeight="1">
      <c r="F7021" s="14"/>
    </row>
    <row r="7022" ht="22.5" customHeight="1">
      <c r="F7022" s="14"/>
    </row>
    <row r="7023" ht="22.5" customHeight="1">
      <c r="F7023" s="14"/>
    </row>
    <row r="7024" ht="22.5" customHeight="1">
      <c r="F7024" s="14"/>
    </row>
    <row r="7025" ht="22.5" customHeight="1">
      <c r="F7025" s="14"/>
    </row>
    <row r="7026" ht="22.5" customHeight="1">
      <c r="F7026" s="14"/>
    </row>
    <row r="7027" ht="22.5" customHeight="1">
      <c r="F7027" s="14"/>
    </row>
    <row r="7028" ht="22.5" customHeight="1">
      <c r="F7028" s="14"/>
    </row>
    <row r="7029" ht="22.5" customHeight="1">
      <c r="F7029" s="14"/>
    </row>
    <row r="7030" ht="22.5" customHeight="1">
      <c r="F7030" s="14"/>
    </row>
    <row r="7031" ht="22.5" customHeight="1">
      <c r="F7031" s="14"/>
    </row>
    <row r="7032" ht="22.5" customHeight="1">
      <c r="F7032" s="14"/>
    </row>
    <row r="7033" ht="22.5" customHeight="1">
      <c r="F7033" s="14"/>
    </row>
    <row r="7034" ht="22.5" customHeight="1">
      <c r="F7034" s="14"/>
    </row>
    <row r="7035" ht="22.5" customHeight="1">
      <c r="F7035" s="14"/>
    </row>
    <row r="7036" ht="22.5" customHeight="1">
      <c r="F7036" s="14"/>
    </row>
    <row r="7037" ht="22.5" customHeight="1">
      <c r="F7037" s="14"/>
    </row>
    <row r="7038" ht="22.5" customHeight="1">
      <c r="F7038" s="14"/>
    </row>
    <row r="7039" ht="22.5" customHeight="1">
      <c r="F7039" s="14"/>
    </row>
    <row r="7040" ht="22.5" customHeight="1">
      <c r="F7040" s="14"/>
    </row>
    <row r="7041" ht="22.5" customHeight="1">
      <c r="F7041" s="14"/>
    </row>
    <row r="7042" ht="22.5" customHeight="1">
      <c r="F7042" s="14"/>
    </row>
    <row r="7043" ht="22.5" customHeight="1">
      <c r="F7043" s="14"/>
    </row>
    <row r="7044" ht="22.5" customHeight="1">
      <c r="F7044" s="14"/>
    </row>
    <row r="7045" ht="22.5" customHeight="1">
      <c r="F7045" s="14"/>
    </row>
    <row r="7046" ht="22.5" customHeight="1">
      <c r="F7046" s="14"/>
    </row>
    <row r="7047" ht="22.5" customHeight="1">
      <c r="F7047" s="14"/>
    </row>
    <row r="7048" ht="22.5" customHeight="1">
      <c r="F7048" s="14"/>
    </row>
    <row r="7049" ht="22.5" customHeight="1">
      <c r="F7049" s="14"/>
    </row>
    <row r="7050" ht="22.5" customHeight="1">
      <c r="F7050" s="14"/>
    </row>
    <row r="7051" ht="22.5" customHeight="1">
      <c r="F7051" s="14"/>
    </row>
    <row r="7052" ht="22.5" customHeight="1">
      <c r="F7052" s="14"/>
    </row>
    <row r="7053" ht="22.5" customHeight="1">
      <c r="F7053" s="14"/>
    </row>
    <row r="7054" ht="22.5" customHeight="1">
      <c r="F7054" s="14"/>
    </row>
    <row r="7055" ht="22.5" customHeight="1">
      <c r="F7055" s="14"/>
    </row>
    <row r="7056" ht="22.5" customHeight="1">
      <c r="F7056" s="14"/>
    </row>
    <row r="7057" ht="22.5" customHeight="1">
      <c r="F7057" s="14"/>
    </row>
    <row r="7058" ht="22.5" customHeight="1">
      <c r="F7058" s="14"/>
    </row>
    <row r="7059" ht="22.5" customHeight="1">
      <c r="F7059" s="14"/>
    </row>
    <row r="7060" ht="22.5" customHeight="1">
      <c r="F7060" s="14"/>
    </row>
    <row r="7061" ht="22.5" customHeight="1">
      <c r="F7061" s="14"/>
    </row>
    <row r="7062" ht="22.5" customHeight="1">
      <c r="F7062" s="14"/>
    </row>
    <row r="7063" ht="22.5" customHeight="1">
      <c r="F7063" s="14"/>
    </row>
    <row r="7064" ht="22.5" customHeight="1">
      <c r="F7064" s="14"/>
    </row>
    <row r="7065" ht="22.5" customHeight="1">
      <c r="F7065" s="14"/>
    </row>
    <row r="7066" ht="22.5" customHeight="1">
      <c r="F7066" s="14"/>
    </row>
    <row r="7067" ht="22.5" customHeight="1">
      <c r="F7067" s="14"/>
    </row>
    <row r="7068" ht="22.5" customHeight="1">
      <c r="F7068" s="14"/>
    </row>
    <row r="7069" ht="22.5" customHeight="1">
      <c r="F7069" s="14"/>
    </row>
    <row r="7070" ht="22.5" customHeight="1">
      <c r="F7070" s="14"/>
    </row>
    <row r="7071" ht="22.5" customHeight="1">
      <c r="F7071" s="14"/>
    </row>
    <row r="7072" ht="22.5" customHeight="1">
      <c r="F7072" s="14"/>
    </row>
    <row r="7073" ht="22.5" customHeight="1">
      <c r="F7073" s="14"/>
    </row>
    <row r="7074" ht="22.5" customHeight="1">
      <c r="F7074" s="14"/>
    </row>
    <row r="7075" ht="22.5" customHeight="1">
      <c r="F7075" s="14"/>
    </row>
    <row r="7076" ht="22.5" customHeight="1">
      <c r="F7076" s="14"/>
    </row>
    <row r="7077" ht="22.5" customHeight="1">
      <c r="F7077" s="14"/>
    </row>
    <row r="7078" ht="22.5" customHeight="1">
      <c r="F7078" s="14"/>
    </row>
    <row r="7079" ht="22.5" customHeight="1">
      <c r="F7079" s="14"/>
    </row>
    <row r="7080" ht="22.5" customHeight="1">
      <c r="F7080" s="14"/>
    </row>
    <row r="7081" ht="22.5" customHeight="1">
      <c r="F7081" s="14"/>
    </row>
    <row r="7082" ht="22.5" customHeight="1">
      <c r="F7082" s="14"/>
    </row>
    <row r="7083" ht="22.5" customHeight="1">
      <c r="F7083" s="14"/>
    </row>
    <row r="7084" ht="22.5" customHeight="1">
      <c r="F7084" s="14"/>
    </row>
    <row r="7085" ht="22.5" customHeight="1">
      <c r="F7085" s="14"/>
    </row>
    <row r="7086" ht="22.5" customHeight="1">
      <c r="F7086" s="14"/>
    </row>
    <row r="7087" ht="22.5" customHeight="1">
      <c r="F7087" s="14"/>
    </row>
    <row r="7088" ht="22.5" customHeight="1">
      <c r="F7088" s="14"/>
    </row>
    <row r="7089" ht="22.5" customHeight="1">
      <c r="F7089" s="14"/>
    </row>
    <row r="7090" ht="22.5" customHeight="1">
      <c r="F7090" s="14"/>
    </row>
    <row r="7091" ht="22.5" customHeight="1">
      <c r="F7091" s="14"/>
    </row>
    <row r="7092" ht="22.5" customHeight="1">
      <c r="F7092" s="14"/>
    </row>
    <row r="7093" ht="22.5" customHeight="1">
      <c r="F7093" s="14"/>
    </row>
    <row r="7094" ht="22.5" customHeight="1">
      <c r="F7094" s="14"/>
    </row>
    <row r="7095" ht="22.5" customHeight="1">
      <c r="F7095" s="14"/>
    </row>
    <row r="7096" ht="22.5" customHeight="1">
      <c r="F7096" s="14"/>
    </row>
    <row r="7097" ht="22.5" customHeight="1">
      <c r="F7097" s="14"/>
    </row>
    <row r="7098" ht="22.5" customHeight="1">
      <c r="F7098" s="14"/>
    </row>
    <row r="7099" ht="22.5" customHeight="1">
      <c r="F7099" s="14"/>
    </row>
    <row r="7100" ht="22.5" customHeight="1">
      <c r="F7100" s="14"/>
    </row>
    <row r="7101" ht="22.5" customHeight="1">
      <c r="F7101" s="14"/>
    </row>
    <row r="7102" ht="22.5" customHeight="1">
      <c r="F7102" s="14"/>
    </row>
    <row r="7103" ht="22.5" customHeight="1">
      <c r="F7103" s="14"/>
    </row>
    <row r="7104" ht="22.5" customHeight="1">
      <c r="F7104" s="14"/>
    </row>
    <row r="7105" ht="22.5" customHeight="1">
      <c r="F7105" s="14"/>
    </row>
    <row r="7106" ht="22.5" customHeight="1">
      <c r="F7106" s="14"/>
    </row>
    <row r="7107" ht="22.5" customHeight="1">
      <c r="F7107" s="14"/>
    </row>
    <row r="7108" ht="22.5" customHeight="1">
      <c r="F7108" s="14"/>
    </row>
    <row r="7109" ht="22.5" customHeight="1">
      <c r="F7109" s="14"/>
    </row>
    <row r="7110" ht="22.5" customHeight="1">
      <c r="F7110" s="14"/>
    </row>
    <row r="7111" ht="22.5" customHeight="1">
      <c r="F7111" s="14"/>
    </row>
    <row r="7112" ht="22.5" customHeight="1">
      <c r="F7112" s="14"/>
    </row>
    <row r="7113" ht="22.5" customHeight="1">
      <c r="F7113" s="14"/>
    </row>
    <row r="7114" ht="22.5" customHeight="1">
      <c r="F7114" s="14"/>
    </row>
    <row r="7115" ht="22.5" customHeight="1">
      <c r="F7115" s="14"/>
    </row>
    <row r="7116" ht="22.5" customHeight="1">
      <c r="F7116" s="14"/>
    </row>
    <row r="7117" ht="22.5" customHeight="1">
      <c r="F7117" s="14"/>
    </row>
    <row r="7118" ht="22.5" customHeight="1">
      <c r="F7118" s="14"/>
    </row>
    <row r="7119" ht="22.5" customHeight="1">
      <c r="F7119" s="14"/>
    </row>
    <row r="7120" ht="22.5" customHeight="1">
      <c r="F7120" s="14"/>
    </row>
    <row r="7121" ht="22.5" customHeight="1">
      <c r="F7121" s="14"/>
    </row>
    <row r="7122" ht="22.5" customHeight="1">
      <c r="F7122" s="14"/>
    </row>
    <row r="7123" ht="22.5" customHeight="1">
      <c r="F7123" s="14"/>
    </row>
    <row r="7124" ht="22.5" customHeight="1">
      <c r="F7124" s="14"/>
    </row>
    <row r="7125" ht="22.5" customHeight="1">
      <c r="F7125" s="14"/>
    </row>
    <row r="7126" ht="22.5" customHeight="1">
      <c r="F7126" s="14"/>
    </row>
    <row r="7127" ht="22.5" customHeight="1">
      <c r="F7127" s="14"/>
    </row>
    <row r="7128" ht="22.5" customHeight="1">
      <c r="F7128" s="14"/>
    </row>
    <row r="7129" ht="22.5" customHeight="1">
      <c r="F7129" s="14"/>
    </row>
    <row r="7130" ht="22.5" customHeight="1">
      <c r="F7130" s="14"/>
    </row>
    <row r="7131" ht="22.5" customHeight="1">
      <c r="F7131" s="14"/>
    </row>
    <row r="7132" ht="22.5" customHeight="1">
      <c r="F7132" s="14"/>
    </row>
    <row r="7133" ht="22.5" customHeight="1">
      <c r="F7133" s="14"/>
    </row>
    <row r="7134" ht="22.5" customHeight="1">
      <c r="F7134" s="14"/>
    </row>
    <row r="7135" ht="22.5" customHeight="1">
      <c r="F7135" s="14"/>
    </row>
    <row r="7136" ht="22.5" customHeight="1">
      <c r="F7136" s="14"/>
    </row>
    <row r="7137" ht="22.5" customHeight="1">
      <c r="F7137" s="14"/>
    </row>
    <row r="7138" ht="22.5" customHeight="1">
      <c r="F7138" s="14"/>
    </row>
    <row r="7139" ht="22.5" customHeight="1">
      <c r="F7139" s="14"/>
    </row>
    <row r="7140" ht="22.5" customHeight="1">
      <c r="F7140" s="14"/>
    </row>
    <row r="7141" ht="22.5" customHeight="1">
      <c r="F7141" s="14"/>
    </row>
    <row r="7142" ht="22.5" customHeight="1">
      <c r="F7142" s="14"/>
    </row>
    <row r="7143" ht="22.5" customHeight="1">
      <c r="F7143" s="14"/>
    </row>
    <row r="7144" ht="22.5" customHeight="1">
      <c r="F7144" s="14"/>
    </row>
    <row r="7145" ht="22.5" customHeight="1">
      <c r="F7145" s="14"/>
    </row>
    <row r="7146" ht="22.5" customHeight="1">
      <c r="F7146" s="14"/>
    </row>
    <row r="7147" ht="22.5" customHeight="1">
      <c r="F7147" s="14"/>
    </row>
    <row r="7148" ht="22.5" customHeight="1">
      <c r="F7148" s="14"/>
    </row>
    <row r="7149" ht="22.5" customHeight="1">
      <c r="F7149" s="14"/>
    </row>
    <row r="7150" ht="22.5" customHeight="1">
      <c r="F7150" s="14"/>
    </row>
    <row r="7151" ht="22.5" customHeight="1">
      <c r="F7151" s="14"/>
    </row>
    <row r="7152" ht="22.5" customHeight="1">
      <c r="F7152" s="14"/>
    </row>
    <row r="7153" ht="22.5" customHeight="1">
      <c r="F7153" s="14"/>
    </row>
    <row r="7154" ht="22.5" customHeight="1">
      <c r="F7154" s="14"/>
    </row>
    <row r="7155" ht="22.5" customHeight="1">
      <c r="F7155" s="14"/>
    </row>
    <row r="7156" ht="22.5" customHeight="1">
      <c r="F7156" s="14"/>
    </row>
    <row r="7157" ht="22.5" customHeight="1">
      <c r="F7157" s="14"/>
    </row>
    <row r="7158" ht="22.5" customHeight="1">
      <c r="F7158" s="14"/>
    </row>
    <row r="7159" ht="22.5" customHeight="1">
      <c r="F7159" s="14"/>
    </row>
    <row r="7160" ht="22.5" customHeight="1">
      <c r="F7160" s="14"/>
    </row>
    <row r="7161" ht="22.5" customHeight="1">
      <c r="F7161" s="14"/>
    </row>
    <row r="7162" ht="22.5" customHeight="1">
      <c r="F7162" s="14"/>
    </row>
    <row r="7163" ht="22.5" customHeight="1">
      <c r="F7163" s="14"/>
    </row>
    <row r="7164" ht="22.5" customHeight="1">
      <c r="F7164" s="14"/>
    </row>
    <row r="7165" ht="22.5" customHeight="1">
      <c r="F7165" s="14"/>
    </row>
    <row r="7166" ht="22.5" customHeight="1">
      <c r="F7166" s="14"/>
    </row>
    <row r="7167" ht="22.5" customHeight="1">
      <c r="F7167" s="14"/>
    </row>
    <row r="7168" ht="22.5" customHeight="1">
      <c r="F7168" s="14"/>
    </row>
    <row r="7169" ht="22.5" customHeight="1">
      <c r="F7169" s="14"/>
    </row>
    <row r="7170" ht="22.5" customHeight="1">
      <c r="F7170" s="14"/>
    </row>
    <row r="7171" ht="22.5" customHeight="1">
      <c r="F7171" s="14"/>
    </row>
    <row r="7172" ht="22.5" customHeight="1">
      <c r="F7172" s="14"/>
    </row>
    <row r="7173" ht="22.5" customHeight="1">
      <c r="F7173" s="14"/>
    </row>
    <row r="7174" ht="22.5" customHeight="1">
      <c r="F7174" s="14"/>
    </row>
    <row r="7175" ht="22.5" customHeight="1">
      <c r="F7175" s="14"/>
    </row>
    <row r="7176" ht="22.5" customHeight="1">
      <c r="F7176" s="14"/>
    </row>
    <row r="7177" ht="22.5" customHeight="1">
      <c r="F7177" s="14"/>
    </row>
    <row r="7178" ht="22.5" customHeight="1">
      <c r="F7178" s="14"/>
    </row>
    <row r="7179" ht="22.5" customHeight="1">
      <c r="F7179" s="14"/>
    </row>
    <row r="7180" ht="22.5" customHeight="1">
      <c r="F7180" s="14"/>
    </row>
    <row r="7181" ht="22.5" customHeight="1">
      <c r="F7181" s="14"/>
    </row>
    <row r="7182" ht="22.5" customHeight="1">
      <c r="F7182" s="14"/>
    </row>
    <row r="7183" ht="22.5" customHeight="1">
      <c r="F7183" s="14"/>
    </row>
    <row r="7184" ht="22.5" customHeight="1">
      <c r="F7184" s="14"/>
    </row>
    <row r="7185" ht="22.5" customHeight="1">
      <c r="F7185" s="14"/>
    </row>
    <row r="7186" ht="22.5" customHeight="1">
      <c r="F7186" s="14"/>
    </row>
    <row r="7187" ht="22.5" customHeight="1">
      <c r="F7187" s="14"/>
    </row>
    <row r="7188" ht="22.5" customHeight="1">
      <c r="F7188" s="14"/>
    </row>
    <row r="7189" ht="22.5" customHeight="1">
      <c r="F7189" s="14"/>
    </row>
    <row r="7190" ht="22.5" customHeight="1">
      <c r="F7190" s="14"/>
    </row>
    <row r="7191" ht="22.5" customHeight="1">
      <c r="F7191" s="14"/>
    </row>
    <row r="7192" ht="22.5" customHeight="1">
      <c r="F7192" s="14"/>
    </row>
    <row r="7193" ht="22.5" customHeight="1">
      <c r="F7193" s="14"/>
    </row>
    <row r="7194" ht="22.5" customHeight="1">
      <c r="F7194" s="14"/>
    </row>
    <row r="7195" ht="22.5" customHeight="1">
      <c r="F7195" s="14"/>
    </row>
    <row r="7196" ht="22.5" customHeight="1">
      <c r="F7196" s="14"/>
    </row>
    <row r="7197" ht="22.5" customHeight="1">
      <c r="F7197" s="14"/>
    </row>
    <row r="7198" ht="22.5" customHeight="1">
      <c r="F7198" s="14"/>
    </row>
    <row r="7199" ht="22.5" customHeight="1">
      <c r="F7199" s="14"/>
    </row>
    <row r="7200" ht="22.5" customHeight="1">
      <c r="F7200" s="14"/>
    </row>
    <row r="7201" ht="22.5" customHeight="1">
      <c r="F7201" s="14"/>
    </row>
    <row r="7202" ht="22.5" customHeight="1">
      <c r="F7202" s="14"/>
    </row>
    <row r="7203" ht="22.5" customHeight="1">
      <c r="F7203" s="14"/>
    </row>
    <row r="7204" ht="22.5" customHeight="1">
      <c r="F7204" s="14"/>
    </row>
    <row r="7205" ht="22.5" customHeight="1">
      <c r="F7205" s="14"/>
    </row>
    <row r="7206" ht="22.5" customHeight="1">
      <c r="F7206" s="14"/>
    </row>
    <row r="7207" ht="22.5" customHeight="1">
      <c r="F7207" s="14"/>
    </row>
    <row r="7208" ht="22.5" customHeight="1">
      <c r="F7208" s="14"/>
    </row>
    <row r="7209" ht="22.5" customHeight="1">
      <c r="F7209" s="14"/>
    </row>
    <row r="7210" ht="22.5" customHeight="1">
      <c r="F7210" s="14"/>
    </row>
    <row r="7211" ht="22.5" customHeight="1">
      <c r="F7211" s="14"/>
    </row>
    <row r="7212" ht="22.5" customHeight="1">
      <c r="F7212" s="14"/>
    </row>
    <row r="7213" ht="22.5" customHeight="1">
      <c r="F7213" s="14"/>
    </row>
    <row r="7214" ht="22.5" customHeight="1">
      <c r="F7214" s="14"/>
    </row>
    <row r="7215" ht="22.5" customHeight="1">
      <c r="F7215" s="14"/>
    </row>
    <row r="7216" ht="22.5" customHeight="1">
      <c r="F7216" s="14"/>
    </row>
    <row r="7217" ht="22.5" customHeight="1">
      <c r="F7217" s="14"/>
    </row>
    <row r="7218" ht="22.5" customHeight="1">
      <c r="F7218" s="14"/>
    </row>
    <row r="7219" ht="22.5" customHeight="1">
      <c r="F7219" s="14"/>
    </row>
    <row r="7220" ht="22.5" customHeight="1">
      <c r="F7220" s="14"/>
    </row>
    <row r="7221" ht="22.5" customHeight="1">
      <c r="F7221" s="14"/>
    </row>
    <row r="7222" ht="22.5" customHeight="1">
      <c r="F7222" s="14"/>
    </row>
    <row r="7223" ht="22.5" customHeight="1">
      <c r="F7223" s="14"/>
    </row>
    <row r="7224" ht="22.5" customHeight="1">
      <c r="F7224" s="14"/>
    </row>
    <row r="7225" ht="22.5" customHeight="1">
      <c r="F7225" s="14"/>
    </row>
    <row r="7226" ht="22.5" customHeight="1">
      <c r="F7226" s="14"/>
    </row>
    <row r="7227" ht="22.5" customHeight="1">
      <c r="F7227" s="14"/>
    </row>
    <row r="7228" ht="22.5" customHeight="1">
      <c r="F7228" s="14"/>
    </row>
    <row r="7229" ht="22.5" customHeight="1">
      <c r="F7229" s="14"/>
    </row>
    <row r="7230" ht="22.5" customHeight="1">
      <c r="F7230" s="14"/>
    </row>
    <row r="7231" ht="22.5" customHeight="1">
      <c r="F7231" s="14"/>
    </row>
    <row r="7232" ht="22.5" customHeight="1">
      <c r="F7232" s="14"/>
    </row>
    <row r="7233" ht="22.5" customHeight="1">
      <c r="F7233" s="14"/>
    </row>
    <row r="7234" ht="22.5" customHeight="1">
      <c r="F7234" s="14"/>
    </row>
    <row r="7235" ht="22.5" customHeight="1">
      <c r="F7235" s="14"/>
    </row>
    <row r="7236" ht="22.5" customHeight="1">
      <c r="F7236" s="14"/>
    </row>
    <row r="7237" ht="22.5" customHeight="1">
      <c r="F7237" s="14"/>
    </row>
    <row r="7238" ht="22.5" customHeight="1">
      <c r="F7238" s="14"/>
    </row>
    <row r="7239" ht="22.5" customHeight="1">
      <c r="F7239" s="14"/>
    </row>
    <row r="7240" ht="22.5" customHeight="1">
      <c r="F7240" s="14"/>
    </row>
    <row r="7241" ht="22.5" customHeight="1">
      <c r="F7241" s="14"/>
    </row>
    <row r="7242" ht="22.5" customHeight="1">
      <c r="F7242" s="14"/>
    </row>
    <row r="7243" ht="22.5" customHeight="1">
      <c r="F7243" s="14"/>
    </row>
    <row r="7244" ht="22.5" customHeight="1">
      <c r="F7244" s="14"/>
    </row>
    <row r="7245" ht="22.5" customHeight="1">
      <c r="F7245" s="14"/>
    </row>
    <row r="7246" ht="22.5" customHeight="1">
      <c r="F7246" s="14"/>
    </row>
    <row r="7247" ht="22.5" customHeight="1">
      <c r="F7247" s="14"/>
    </row>
    <row r="7248" ht="22.5" customHeight="1">
      <c r="F7248" s="14"/>
    </row>
    <row r="7249" ht="22.5" customHeight="1">
      <c r="F7249" s="14"/>
    </row>
    <row r="7250" ht="22.5" customHeight="1">
      <c r="F7250" s="14"/>
    </row>
    <row r="7251" ht="22.5" customHeight="1">
      <c r="F7251" s="14"/>
    </row>
    <row r="7252" ht="22.5" customHeight="1">
      <c r="F7252" s="14"/>
    </row>
    <row r="7253" ht="22.5" customHeight="1">
      <c r="F7253" s="14"/>
    </row>
    <row r="7254" ht="22.5" customHeight="1">
      <c r="F7254" s="14"/>
    </row>
    <row r="7255" ht="22.5" customHeight="1">
      <c r="F7255" s="14"/>
    </row>
    <row r="7256" ht="22.5" customHeight="1">
      <c r="F7256" s="14"/>
    </row>
    <row r="7257" ht="22.5" customHeight="1">
      <c r="F7257" s="14"/>
    </row>
    <row r="7258" ht="22.5" customHeight="1">
      <c r="F7258" s="14"/>
    </row>
    <row r="7259" ht="22.5" customHeight="1">
      <c r="F7259" s="14"/>
    </row>
    <row r="7260" ht="22.5" customHeight="1">
      <c r="F7260" s="14"/>
    </row>
    <row r="7261" ht="22.5" customHeight="1">
      <c r="F7261" s="14"/>
    </row>
    <row r="7262" ht="22.5" customHeight="1">
      <c r="F7262" s="14"/>
    </row>
    <row r="7263" ht="22.5" customHeight="1">
      <c r="F7263" s="14"/>
    </row>
    <row r="7264" ht="22.5" customHeight="1">
      <c r="F7264" s="14"/>
    </row>
    <row r="7265" ht="22.5" customHeight="1">
      <c r="F7265" s="14"/>
    </row>
    <row r="7266" ht="22.5" customHeight="1">
      <c r="F7266" s="14"/>
    </row>
    <row r="7267" ht="22.5" customHeight="1">
      <c r="F7267" s="14"/>
    </row>
    <row r="7268" ht="22.5" customHeight="1">
      <c r="F7268" s="14"/>
    </row>
    <row r="7269" ht="22.5" customHeight="1">
      <c r="F7269" s="14"/>
    </row>
    <row r="7270" ht="22.5" customHeight="1">
      <c r="F7270" s="14"/>
    </row>
    <row r="7271" ht="22.5" customHeight="1">
      <c r="F7271" s="14"/>
    </row>
    <row r="7272" ht="22.5" customHeight="1">
      <c r="F7272" s="14"/>
    </row>
    <row r="7273" ht="22.5" customHeight="1">
      <c r="F7273" s="14"/>
    </row>
    <row r="7274" ht="22.5" customHeight="1">
      <c r="F7274" s="14"/>
    </row>
    <row r="7275" ht="22.5" customHeight="1">
      <c r="F7275" s="14"/>
    </row>
    <row r="7276" ht="22.5" customHeight="1">
      <c r="F7276" s="14"/>
    </row>
    <row r="7277" ht="22.5" customHeight="1">
      <c r="F7277" s="14"/>
    </row>
    <row r="7278" ht="22.5" customHeight="1">
      <c r="F7278" s="14"/>
    </row>
    <row r="7279" ht="22.5" customHeight="1">
      <c r="F7279" s="14"/>
    </row>
    <row r="7280" ht="22.5" customHeight="1">
      <c r="F7280" s="14"/>
    </row>
    <row r="7281" ht="22.5" customHeight="1">
      <c r="F7281" s="14"/>
    </row>
    <row r="7282" ht="22.5" customHeight="1">
      <c r="F7282" s="14"/>
    </row>
    <row r="7283" ht="22.5" customHeight="1">
      <c r="F7283" s="14"/>
    </row>
    <row r="7284" ht="22.5" customHeight="1">
      <c r="F7284" s="14"/>
    </row>
    <row r="7285" ht="22.5" customHeight="1">
      <c r="F7285" s="14"/>
    </row>
    <row r="7286" ht="22.5" customHeight="1">
      <c r="F7286" s="14"/>
    </row>
    <row r="7287" ht="22.5" customHeight="1">
      <c r="F7287" s="14"/>
    </row>
    <row r="7288" ht="22.5" customHeight="1">
      <c r="F7288" s="14"/>
    </row>
    <row r="7289" ht="22.5" customHeight="1">
      <c r="F7289" s="14"/>
    </row>
    <row r="7290" ht="22.5" customHeight="1">
      <c r="F7290" s="14"/>
    </row>
    <row r="7291" ht="22.5" customHeight="1">
      <c r="F7291" s="14"/>
    </row>
    <row r="7292" ht="22.5" customHeight="1">
      <c r="F7292" s="14"/>
    </row>
    <row r="7293" ht="22.5" customHeight="1">
      <c r="F7293" s="14"/>
    </row>
    <row r="7294" ht="22.5" customHeight="1">
      <c r="F7294" s="14"/>
    </row>
    <row r="7295" ht="22.5" customHeight="1">
      <c r="F7295" s="14"/>
    </row>
    <row r="7296" ht="22.5" customHeight="1">
      <c r="F7296" s="14"/>
    </row>
    <row r="7297" ht="22.5" customHeight="1">
      <c r="F7297" s="14"/>
    </row>
    <row r="7298" ht="22.5" customHeight="1">
      <c r="F7298" s="14"/>
    </row>
    <row r="7299" ht="22.5" customHeight="1">
      <c r="F7299" s="14"/>
    </row>
    <row r="7300" ht="22.5" customHeight="1">
      <c r="F7300" s="14"/>
    </row>
    <row r="7301" ht="22.5" customHeight="1">
      <c r="F7301" s="14"/>
    </row>
    <row r="7302" ht="22.5" customHeight="1">
      <c r="F7302" s="14"/>
    </row>
    <row r="7303" ht="22.5" customHeight="1">
      <c r="F7303" s="14"/>
    </row>
    <row r="7304" ht="22.5" customHeight="1">
      <c r="F7304" s="14"/>
    </row>
    <row r="7305" ht="22.5" customHeight="1">
      <c r="F7305" s="14"/>
    </row>
    <row r="7306" ht="22.5" customHeight="1">
      <c r="F7306" s="14"/>
    </row>
    <row r="7307" ht="22.5" customHeight="1">
      <c r="F7307" s="14"/>
    </row>
    <row r="7308" ht="22.5" customHeight="1">
      <c r="F7308" s="14"/>
    </row>
    <row r="7309" ht="22.5" customHeight="1">
      <c r="F7309" s="14"/>
    </row>
    <row r="7310" ht="22.5" customHeight="1">
      <c r="F7310" s="14"/>
    </row>
    <row r="7311" ht="22.5" customHeight="1">
      <c r="F7311" s="14"/>
    </row>
    <row r="7312" ht="22.5" customHeight="1">
      <c r="F7312" s="14"/>
    </row>
    <row r="7313" ht="22.5" customHeight="1">
      <c r="F7313" s="14"/>
    </row>
    <row r="7314" ht="22.5" customHeight="1">
      <c r="F7314" s="14"/>
    </row>
    <row r="7315" ht="22.5" customHeight="1">
      <c r="F7315" s="14"/>
    </row>
    <row r="7316" ht="22.5" customHeight="1">
      <c r="F7316" s="14"/>
    </row>
    <row r="7317" ht="22.5" customHeight="1">
      <c r="F7317" s="14"/>
    </row>
    <row r="7318" ht="22.5" customHeight="1">
      <c r="F7318" s="14"/>
    </row>
    <row r="7319" ht="22.5" customHeight="1">
      <c r="F7319" s="14"/>
    </row>
    <row r="7320" ht="22.5" customHeight="1">
      <c r="F7320" s="14"/>
    </row>
    <row r="7321" ht="22.5" customHeight="1">
      <c r="F7321" s="14"/>
    </row>
    <row r="7322" ht="22.5" customHeight="1">
      <c r="F7322" s="14"/>
    </row>
    <row r="7323" ht="22.5" customHeight="1">
      <c r="F7323" s="14"/>
    </row>
    <row r="7324" ht="22.5" customHeight="1">
      <c r="F7324" s="14"/>
    </row>
    <row r="7325" ht="22.5" customHeight="1">
      <c r="F7325" s="14"/>
    </row>
    <row r="7326" ht="22.5" customHeight="1">
      <c r="F7326" s="14"/>
    </row>
    <row r="7327" ht="22.5" customHeight="1">
      <c r="F7327" s="14"/>
    </row>
    <row r="7328" ht="22.5" customHeight="1">
      <c r="F7328" s="14"/>
    </row>
    <row r="7329" ht="22.5" customHeight="1">
      <c r="F7329" s="14"/>
    </row>
    <row r="7330" ht="22.5" customHeight="1">
      <c r="F7330" s="14"/>
    </row>
    <row r="7331" ht="22.5" customHeight="1">
      <c r="F7331" s="14"/>
    </row>
    <row r="7332" ht="22.5" customHeight="1">
      <c r="F7332" s="14"/>
    </row>
    <row r="7333" ht="22.5" customHeight="1">
      <c r="F7333" s="14"/>
    </row>
    <row r="7334" ht="22.5" customHeight="1">
      <c r="F7334" s="14"/>
    </row>
    <row r="7335" ht="22.5" customHeight="1">
      <c r="F7335" s="14"/>
    </row>
    <row r="7336" ht="22.5" customHeight="1">
      <c r="F7336" s="14"/>
    </row>
    <row r="7337" ht="22.5" customHeight="1">
      <c r="F7337" s="14"/>
    </row>
    <row r="7338" ht="22.5" customHeight="1">
      <c r="F7338" s="14"/>
    </row>
    <row r="7339" ht="22.5" customHeight="1">
      <c r="F7339" s="14"/>
    </row>
    <row r="7340" ht="22.5" customHeight="1">
      <c r="F7340" s="14"/>
    </row>
    <row r="7341" ht="22.5" customHeight="1">
      <c r="F7341" s="14"/>
    </row>
    <row r="7342" ht="22.5" customHeight="1">
      <c r="F7342" s="14"/>
    </row>
    <row r="7343" ht="22.5" customHeight="1">
      <c r="F7343" s="14"/>
    </row>
    <row r="7344" ht="22.5" customHeight="1">
      <c r="F7344" s="14"/>
    </row>
    <row r="7345" ht="22.5" customHeight="1">
      <c r="F7345" s="14"/>
    </row>
    <row r="7346" ht="22.5" customHeight="1">
      <c r="F7346" s="14"/>
    </row>
    <row r="7347" ht="22.5" customHeight="1">
      <c r="F7347" s="14"/>
    </row>
    <row r="7348" ht="22.5" customHeight="1">
      <c r="F7348" s="14"/>
    </row>
    <row r="7349" ht="22.5" customHeight="1">
      <c r="F7349" s="14"/>
    </row>
    <row r="7350" ht="22.5" customHeight="1">
      <c r="F7350" s="14"/>
    </row>
    <row r="7351" ht="22.5" customHeight="1">
      <c r="F7351" s="14"/>
    </row>
    <row r="7352" ht="22.5" customHeight="1">
      <c r="F7352" s="14"/>
    </row>
    <row r="7353" ht="22.5" customHeight="1">
      <c r="F7353" s="14"/>
    </row>
    <row r="7354" ht="22.5" customHeight="1">
      <c r="F7354" s="14"/>
    </row>
    <row r="7355" ht="22.5" customHeight="1">
      <c r="F7355" s="14"/>
    </row>
    <row r="7356" ht="22.5" customHeight="1">
      <c r="F7356" s="14"/>
    </row>
    <row r="7357" ht="22.5" customHeight="1">
      <c r="F7357" s="14"/>
    </row>
    <row r="7358" ht="22.5" customHeight="1">
      <c r="F7358" s="14"/>
    </row>
    <row r="7359" ht="22.5" customHeight="1">
      <c r="F7359" s="14"/>
    </row>
    <row r="7360" ht="22.5" customHeight="1">
      <c r="F7360" s="14"/>
    </row>
    <row r="7361" ht="22.5" customHeight="1">
      <c r="F7361" s="14"/>
    </row>
    <row r="7362" ht="22.5" customHeight="1">
      <c r="F7362" s="14"/>
    </row>
    <row r="7363" ht="22.5" customHeight="1">
      <c r="F7363" s="14"/>
    </row>
    <row r="7364" ht="22.5" customHeight="1">
      <c r="F7364" s="14"/>
    </row>
    <row r="7365" ht="22.5" customHeight="1">
      <c r="F7365" s="14"/>
    </row>
    <row r="7366" ht="22.5" customHeight="1">
      <c r="F7366" s="14"/>
    </row>
    <row r="7367" ht="22.5" customHeight="1">
      <c r="F7367" s="14"/>
    </row>
    <row r="7368" ht="22.5" customHeight="1">
      <c r="F7368" s="14"/>
    </row>
    <row r="7369" ht="22.5" customHeight="1">
      <c r="F7369" s="14"/>
    </row>
    <row r="7370" ht="22.5" customHeight="1">
      <c r="F7370" s="14"/>
    </row>
    <row r="7371" ht="22.5" customHeight="1">
      <c r="F7371" s="14"/>
    </row>
    <row r="7372" ht="22.5" customHeight="1">
      <c r="F7372" s="14"/>
    </row>
    <row r="7373" ht="22.5" customHeight="1">
      <c r="F7373" s="14"/>
    </row>
    <row r="7374" ht="22.5" customHeight="1">
      <c r="F7374" s="14"/>
    </row>
    <row r="7375" ht="22.5" customHeight="1">
      <c r="F7375" s="14"/>
    </row>
    <row r="7376" ht="22.5" customHeight="1">
      <c r="F7376" s="14"/>
    </row>
    <row r="7377" ht="22.5" customHeight="1">
      <c r="F7377" s="14"/>
    </row>
    <row r="7378" ht="22.5" customHeight="1">
      <c r="F7378" s="14"/>
    </row>
    <row r="7379" ht="22.5" customHeight="1">
      <c r="F7379" s="14"/>
    </row>
    <row r="7380" ht="22.5" customHeight="1">
      <c r="F7380" s="14"/>
    </row>
    <row r="7381" ht="22.5" customHeight="1">
      <c r="F7381" s="14"/>
    </row>
    <row r="7382" ht="22.5" customHeight="1">
      <c r="F7382" s="14"/>
    </row>
    <row r="7383" ht="22.5" customHeight="1">
      <c r="F7383" s="14"/>
    </row>
    <row r="7384" ht="22.5" customHeight="1">
      <c r="F7384" s="14"/>
    </row>
    <row r="7385" ht="22.5" customHeight="1">
      <c r="F7385" s="14"/>
    </row>
    <row r="7386" ht="22.5" customHeight="1">
      <c r="F7386" s="14"/>
    </row>
    <row r="7387" ht="22.5" customHeight="1">
      <c r="F7387" s="14"/>
    </row>
    <row r="7388" ht="22.5" customHeight="1">
      <c r="F7388" s="14"/>
    </row>
    <row r="7389" ht="22.5" customHeight="1">
      <c r="F7389" s="14"/>
    </row>
    <row r="7390" ht="22.5" customHeight="1">
      <c r="F7390" s="14"/>
    </row>
    <row r="7391" ht="22.5" customHeight="1">
      <c r="F7391" s="14"/>
    </row>
    <row r="7392" ht="22.5" customHeight="1">
      <c r="F7392" s="14"/>
    </row>
    <row r="7393" ht="22.5" customHeight="1">
      <c r="F7393" s="14"/>
    </row>
    <row r="7394" ht="22.5" customHeight="1">
      <c r="F7394" s="14"/>
    </row>
    <row r="7395" ht="22.5" customHeight="1">
      <c r="F7395" s="14"/>
    </row>
    <row r="7396" ht="22.5" customHeight="1">
      <c r="F7396" s="14"/>
    </row>
    <row r="7397" ht="22.5" customHeight="1">
      <c r="F7397" s="14"/>
    </row>
    <row r="7398" ht="22.5" customHeight="1">
      <c r="F7398" s="14"/>
    </row>
    <row r="7399" ht="22.5" customHeight="1">
      <c r="F7399" s="14"/>
    </row>
    <row r="7400" ht="22.5" customHeight="1">
      <c r="F7400" s="14"/>
    </row>
    <row r="7401" ht="22.5" customHeight="1">
      <c r="F7401" s="14"/>
    </row>
    <row r="7402" ht="22.5" customHeight="1">
      <c r="F7402" s="14"/>
    </row>
    <row r="7403" ht="22.5" customHeight="1">
      <c r="F7403" s="14"/>
    </row>
    <row r="7404" ht="22.5" customHeight="1">
      <c r="F7404" s="14"/>
    </row>
    <row r="7405" ht="22.5" customHeight="1">
      <c r="F7405" s="14"/>
    </row>
    <row r="7406" ht="22.5" customHeight="1">
      <c r="F7406" s="14"/>
    </row>
    <row r="7407" ht="22.5" customHeight="1">
      <c r="F7407" s="14"/>
    </row>
    <row r="7408" ht="22.5" customHeight="1">
      <c r="F7408" s="14"/>
    </row>
    <row r="7409" ht="22.5" customHeight="1">
      <c r="F7409" s="14"/>
    </row>
    <row r="7410" ht="22.5" customHeight="1">
      <c r="F7410" s="14"/>
    </row>
    <row r="7411" ht="22.5" customHeight="1">
      <c r="F7411" s="14"/>
    </row>
    <row r="7412" ht="22.5" customHeight="1">
      <c r="F7412" s="14"/>
    </row>
    <row r="7413" ht="22.5" customHeight="1">
      <c r="F7413" s="14"/>
    </row>
    <row r="7414" ht="22.5" customHeight="1">
      <c r="F7414" s="14"/>
    </row>
    <row r="7415" ht="22.5" customHeight="1">
      <c r="F7415" s="14"/>
    </row>
    <row r="7416" ht="22.5" customHeight="1">
      <c r="F7416" s="14"/>
    </row>
    <row r="7417" ht="22.5" customHeight="1">
      <c r="F7417" s="14"/>
    </row>
    <row r="7418" ht="22.5" customHeight="1">
      <c r="F7418" s="14"/>
    </row>
    <row r="7419" ht="22.5" customHeight="1">
      <c r="F7419" s="14"/>
    </row>
    <row r="7420" ht="22.5" customHeight="1">
      <c r="F7420" s="14"/>
    </row>
    <row r="7421" ht="22.5" customHeight="1">
      <c r="F7421" s="14"/>
    </row>
    <row r="7422" ht="22.5" customHeight="1">
      <c r="F7422" s="14"/>
    </row>
    <row r="7423" ht="22.5" customHeight="1">
      <c r="F7423" s="14"/>
    </row>
    <row r="7424" ht="22.5" customHeight="1">
      <c r="F7424" s="14"/>
    </row>
    <row r="7425" ht="22.5" customHeight="1">
      <c r="F7425" s="14"/>
    </row>
    <row r="7426" ht="22.5" customHeight="1">
      <c r="F7426" s="14"/>
    </row>
    <row r="7427" ht="22.5" customHeight="1">
      <c r="F7427" s="14"/>
    </row>
    <row r="7428" ht="22.5" customHeight="1">
      <c r="F7428" s="14"/>
    </row>
    <row r="7429" ht="22.5" customHeight="1">
      <c r="F7429" s="14"/>
    </row>
    <row r="7430" ht="22.5" customHeight="1">
      <c r="F7430" s="14"/>
    </row>
    <row r="7431" ht="22.5" customHeight="1">
      <c r="F7431" s="14"/>
    </row>
    <row r="7432" ht="22.5" customHeight="1">
      <c r="F7432" s="14"/>
    </row>
    <row r="7433" ht="22.5" customHeight="1">
      <c r="F7433" s="14"/>
    </row>
    <row r="7434" ht="22.5" customHeight="1">
      <c r="F7434" s="14"/>
    </row>
    <row r="7435" ht="22.5" customHeight="1">
      <c r="F7435" s="14"/>
    </row>
    <row r="7436" ht="22.5" customHeight="1">
      <c r="F7436" s="14"/>
    </row>
    <row r="7437" ht="22.5" customHeight="1">
      <c r="F7437" s="14"/>
    </row>
    <row r="7438" ht="22.5" customHeight="1">
      <c r="F7438" s="14"/>
    </row>
    <row r="7439" ht="22.5" customHeight="1">
      <c r="F7439" s="14"/>
    </row>
    <row r="7440" ht="22.5" customHeight="1">
      <c r="F7440" s="14"/>
    </row>
    <row r="7441" ht="22.5" customHeight="1">
      <c r="F7441" s="14"/>
    </row>
    <row r="7442" ht="22.5" customHeight="1">
      <c r="F7442" s="14"/>
    </row>
    <row r="7443" ht="22.5" customHeight="1">
      <c r="F7443" s="14"/>
    </row>
    <row r="7444" ht="22.5" customHeight="1">
      <c r="F7444" s="14"/>
    </row>
    <row r="7445" ht="22.5" customHeight="1">
      <c r="F7445" s="14"/>
    </row>
    <row r="7446" ht="22.5" customHeight="1">
      <c r="F7446" s="14"/>
    </row>
    <row r="7447" ht="22.5" customHeight="1">
      <c r="F7447" s="14"/>
    </row>
    <row r="7448" ht="22.5" customHeight="1">
      <c r="F7448" s="14"/>
    </row>
    <row r="7449" ht="22.5" customHeight="1">
      <c r="F7449" s="14"/>
    </row>
    <row r="7450" ht="22.5" customHeight="1">
      <c r="F7450" s="14"/>
    </row>
    <row r="7451" ht="22.5" customHeight="1">
      <c r="F7451" s="14"/>
    </row>
    <row r="7452" ht="22.5" customHeight="1">
      <c r="F7452" s="14"/>
    </row>
    <row r="7453" ht="22.5" customHeight="1">
      <c r="F7453" s="14"/>
    </row>
    <row r="7454" ht="22.5" customHeight="1">
      <c r="F7454" s="14"/>
    </row>
    <row r="7455" ht="22.5" customHeight="1">
      <c r="F7455" s="14"/>
    </row>
    <row r="7456" ht="22.5" customHeight="1">
      <c r="F7456" s="14"/>
    </row>
    <row r="7457" ht="22.5" customHeight="1">
      <c r="F7457" s="14"/>
    </row>
    <row r="7458" ht="22.5" customHeight="1">
      <c r="F7458" s="14"/>
    </row>
    <row r="7459" ht="22.5" customHeight="1">
      <c r="F7459" s="14"/>
    </row>
    <row r="7460" ht="22.5" customHeight="1">
      <c r="F7460" s="14"/>
    </row>
    <row r="7461" ht="22.5" customHeight="1">
      <c r="F7461" s="14"/>
    </row>
    <row r="7462" ht="22.5" customHeight="1">
      <c r="F7462" s="14"/>
    </row>
    <row r="7463" ht="22.5" customHeight="1">
      <c r="F7463" s="14"/>
    </row>
    <row r="7464" ht="22.5" customHeight="1">
      <c r="F7464" s="14"/>
    </row>
    <row r="7465" ht="22.5" customHeight="1">
      <c r="F7465" s="14"/>
    </row>
    <row r="7466" ht="22.5" customHeight="1">
      <c r="F7466" s="14"/>
    </row>
    <row r="7467" ht="22.5" customHeight="1">
      <c r="F7467" s="14"/>
    </row>
    <row r="7468" ht="22.5" customHeight="1">
      <c r="F7468" s="14"/>
    </row>
    <row r="7469" ht="22.5" customHeight="1">
      <c r="F7469" s="14"/>
    </row>
    <row r="7470" ht="22.5" customHeight="1">
      <c r="F7470" s="14"/>
    </row>
    <row r="7471" ht="22.5" customHeight="1">
      <c r="F7471" s="14"/>
    </row>
    <row r="7472" ht="22.5" customHeight="1">
      <c r="F7472" s="14"/>
    </row>
    <row r="7473" ht="22.5" customHeight="1">
      <c r="F7473" s="14"/>
    </row>
    <row r="7474" ht="22.5" customHeight="1">
      <c r="F7474" s="14"/>
    </row>
    <row r="7475" ht="22.5" customHeight="1">
      <c r="F7475" s="14"/>
    </row>
    <row r="7476" ht="22.5" customHeight="1">
      <c r="F7476" s="14"/>
    </row>
    <row r="7477" ht="22.5" customHeight="1">
      <c r="F7477" s="14"/>
    </row>
    <row r="7478" ht="22.5" customHeight="1">
      <c r="F7478" s="14"/>
    </row>
    <row r="7479" ht="22.5" customHeight="1">
      <c r="F7479" s="14"/>
    </row>
    <row r="7480" ht="22.5" customHeight="1">
      <c r="F7480" s="14"/>
    </row>
    <row r="7481" ht="22.5" customHeight="1">
      <c r="F7481" s="14"/>
    </row>
    <row r="7482" ht="22.5" customHeight="1">
      <c r="F7482" s="14"/>
    </row>
    <row r="7483" ht="22.5" customHeight="1">
      <c r="F7483" s="14"/>
    </row>
    <row r="7484" ht="22.5" customHeight="1">
      <c r="F7484" s="14"/>
    </row>
    <row r="7485" ht="22.5" customHeight="1">
      <c r="F7485" s="14"/>
    </row>
    <row r="7486" ht="22.5" customHeight="1">
      <c r="F7486" s="14"/>
    </row>
    <row r="7487" ht="22.5" customHeight="1">
      <c r="F7487" s="14"/>
    </row>
    <row r="7488" ht="22.5" customHeight="1">
      <c r="F7488" s="14"/>
    </row>
    <row r="7489" ht="22.5" customHeight="1">
      <c r="F7489" s="14"/>
    </row>
    <row r="7490" ht="22.5" customHeight="1">
      <c r="F7490" s="14"/>
    </row>
    <row r="7491" ht="22.5" customHeight="1">
      <c r="F7491" s="14"/>
    </row>
    <row r="7492" ht="22.5" customHeight="1">
      <c r="F7492" s="14"/>
    </row>
    <row r="7493" ht="22.5" customHeight="1">
      <c r="F7493" s="14"/>
    </row>
    <row r="7494" ht="22.5" customHeight="1">
      <c r="F7494" s="14"/>
    </row>
    <row r="7495" ht="22.5" customHeight="1">
      <c r="F7495" s="14"/>
    </row>
    <row r="7496" ht="22.5" customHeight="1">
      <c r="F7496" s="14"/>
    </row>
    <row r="7497" ht="22.5" customHeight="1">
      <c r="F7497" s="14"/>
    </row>
    <row r="7498" ht="22.5" customHeight="1">
      <c r="F7498" s="14"/>
    </row>
    <row r="7499" ht="22.5" customHeight="1">
      <c r="F7499" s="14"/>
    </row>
    <row r="7500" ht="22.5" customHeight="1">
      <c r="F7500" s="14"/>
    </row>
    <row r="7501" ht="22.5" customHeight="1">
      <c r="F7501" s="14"/>
    </row>
    <row r="7502" ht="22.5" customHeight="1">
      <c r="F7502" s="14"/>
    </row>
    <row r="7503" ht="22.5" customHeight="1">
      <c r="F7503" s="14"/>
    </row>
    <row r="7504" ht="22.5" customHeight="1">
      <c r="F7504" s="14"/>
    </row>
    <row r="7505" ht="22.5" customHeight="1">
      <c r="F7505" s="14"/>
    </row>
    <row r="7506" ht="22.5" customHeight="1">
      <c r="F7506" s="14"/>
    </row>
    <row r="7507" ht="22.5" customHeight="1">
      <c r="F7507" s="14"/>
    </row>
    <row r="7508" ht="22.5" customHeight="1">
      <c r="F7508" s="14"/>
    </row>
    <row r="7509" ht="22.5" customHeight="1">
      <c r="F7509" s="14"/>
    </row>
    <row r="7510" ht="22.5" customHeight="1">
      <c r="F7510" s="14"/>
    </row>
    <row r="7511" ht="22.5" customHeight="1">
      <c r="F7511" s="14"/>
    </row>
    <row r="7512" ht="22.5" customHeight="1">
      <c r="F7512" s="14"/>
    </row>
    <row r="7513" ht="22.5" customHeight="1">
      <c r="F7513" s="14"/>
    </row>
    <row r="7514" ht="22.5" customHeight="1">
      <c r="F7514" s="14"/>
    </row>
    <row r="7515" ht="22.5" customHeight="1">
      <c r="F7515" s="14"/>
    </row>
    <row r="7516" ht="22.5" customHeight="1">
      <c r="F7516" s="14"/>
    </row>
    <row r="7517" ht="22.5" customHeight="1">
      <c r="F7517" s="14"/>
    </row>
    <row r="7518" ht="22.5" customHeight="1">
      <c r="F7518" s="14"/>
    </row>
    <row r="7519" ht="22.5" customHeight="1">
      <c r="F7519" s="14"/>
    </row>
    <row r="7520" ht="22.5" customHeight="1">
      <c r="F7520" s="14"/>
    </row>
    <row r="7521" ht="22.5" customHeight="1">
      <c r="F7521" s="14"/>
    </row>
    <row r="7522" ht="22.5" customHeight="1">
      <c r="F7522" s="14"/>
    </row>
    <row r="7523" ht="22.5" customHeight="1">
      <c r="F7523" s="14"/>
    </row>
    <row r="7524" ht="22.5" customHeight="1">
      <c r="F7524" s="14"/>
    </row>
    <row r="7525" ht="22.5" customHeight="1">
      <c r="F7525" s="14"/>
    </row>
    <row r="7526" ht="22.5" customHeight="1">
      <c r="F7526" s="14"/>
    </row>
    <row r="7527" ht="22.5" customHeight="1">
      <c r="F7527" s="14"/>
    </row>
    <row r="7528" ht="22.5" customHeight="1">
      <c r="F7528" s="14"/>
    </row>
    <row r="7529" ht="22.5" customHeight="1">
      <c r="F7529" s="14"/>
    </row>
    <row r="7530" ht="22.5" customHeight="1">
      <c r="F7530" s="14"/>
    </row>
    <row r="7531" ht="22.5" customHeight="1">
      <c r="F7531" s="14"/>
    </row>
    <row r="7532" ht="22.5" customHeight="1">
      <c r="F7532" s="14"/>
    </row>
    <row r="7533" ht="22.5" customHeight="1">
      <c r="F7533" s="14"/>
    </row>
    <row r="7534" ht="22.5" customHeight="1">
      <c r="F7534" s="14"/>
    </row>
    <row r="7535" ht="22.5" customHeight="1">
      <c r="F7535" s="14"/>
    </row>
    <row r="7536" ht="22.5" customHeight="1">
      <c r="F7536" s="14"/>
    </row>
    <row r="7537" ht="22.5" customHeight="1">
      <c r="F7537" s="14"/>
    </row>
    <row r="7538" ht="22.5" customHeight="1">
      <c r="F7538" s="14"/>
    </row>
    <row r="7539" ht="22.5" customHeight="1">
      <c r="F7539" s="14"/>
    </row>
    <row r="7540" ht="22.5" customHeight="1">
      <c r="F7540" s="14"/>
    </row>
    <row r="7541" ht="22.5" customHeight="1">
      <c r="F7541" s="14"/>
    </row>
    <row r="7542" ht="22.5" customHeight="1">
      <c r="F7542" s="14"/>
    </row>
    <row r="7543" ht="22.5" customHeight="1">
      <c r="F7543" s="14"/>
    </row>
    <row r="7544" ht="22.5" customHeight="1">
      <c r="F7544" s="14"/>
    </row>
    <row r="7545" ht="22.5" customHeight="1">
      <c r="F7545" s="14"/>
    </row>
    <row r="7546" ht="22.5" customHeight="1">
      <c r="F7546" s="14"/>
    </row>
    <row r="7547" ht="22.5" customHeight="1">
      <c r="F7547" s="14"/>
    </row>
    <row r="7548" ht="22.5" customHeight="1">
      <c r="F7548" s="14"/>
    </row>
    <row r="7549" ht="22.5" customHeight="1">
      <c r="F7549" s="14"/>
    </row>
    <row r="7550" ht="22.5" customHeight="1">
      <c r="F7550" s="14"/>
    </row>
    <row r="7551" ht="22.5" customHeight="1">
      <c r="F7551" s="14"/>
    </row>
    <row r="7552" ht="22.5" customHeight="1">
      <c r="F7552" s="14"/>
    </row>
    <row r="7553" ht="22.5" customHeight="1">
      <c r="F7553" s="14"/>
    </row>
    <row r="7554" ht="22.5" customHeight="1">
      <c r="F7554" s="14"/>
    </row>
    <row r="7555" ht="22.5" customHeight="1">
      <c r="F7555" s="14"/>
    </row>
    <row r="7556" ht="22.5" customHeight="1">
      <c r="F7556" s="14"/>
    </row>
    <row r="7557" ht="22.5" customHeight="1">
      <c r="F7557" s="14"/>
    </row>
    <row r="7558" ht="22.5" customHeight="1">
      <c r="F7558" s="14"/>
    </row>
    <row r="7559" ht="22.5" customHeight="1">
      <c r="F7559" s="14"/>
    </row>
    <row r="7560" ht="22.5" customHeight="1">
      <c r="F7560" s="14"/>
    </row>
    <row r="7561" ht="22.5" customHeight="1">
      <c r="F7561" s="14"/>
    </row>
    <row r="7562" ht="22.5" customHeight="1">
      <c r="F7562" s="14"/>
    </row>
    <row r="7563" ht="22.5" customHeight="1">
      <c r="F7563" s="14"/>
    </row>
    <row r="7564" ht="22.5" customHeight="1">
      <c r="F7564" s="14"/>
    </row>
    <row r="7565" ht="22.5" customHeight="1">
      <c r="F7565" s="14"/>
    </row>
    <row r="7566" ht="22.5" customHeight="1">
      <c r="F7566" s="14"/>
    </row>
    <row r="7567" ht="22.5" customHeight="1">
      <c r="F7567" s="14"/>
    </row>
    <row r="7568" ht="22.5" customHeight="1">
      <c r="F7568" s="14"/>
    </row>
    <row r="7569" ht="22.5" customHeight="1">
      <c r="F7569" s="14"/>
    </row>
    <row r="7570" ht="22.5" customHeight="1">
      <c r="F7570" s="14"/>
    </row>
    <row r="7571" ht="22.5" customHeight="1">
      <c r="F7571" s="14"/>
    </row>
    <row r="7572" ht="22.5" customHeight="1">
      <c r="F7572" s="14"/>
    </row>
    <row r="7573" ht="22.5" customHeight="1">
      <c r="F7573" s="14"/>
    </row>
    <row r="7574" ht="22.5" customHeight="1">
      <c r="F7574" s="14"/>
    </row>
    <row r="7575" ht="22.5" customHeight="1">
      <c r="F7575" s="14"/>
    </row>
    <row r="7576" ht="22.5" customHeight="1">
      <c r="F7576" s="14"/>
    </row>
    <row r="7577" ht="22.5" customHeight="1">
      <c r="F7577" s="14"/>
    </row>
    <row r="7578" ht="22.5" customHeight="1">
      <c r="F7578" s="14"/>
    </row>
    <row r="7579" ht="22.5" customHeight="1">
      <c r="F7579" s="14"/>
    </row>
    <row r="7580" ht="22.5" customHeight="1">
      <c r="F7580" s="14"/>
    </row>
    <row r="7581" ht="22.5" customHeight="1">
      <c r="F7581" s="14"/>
    </row>
    <row r="7582" ht="22.5" customHeight="1">
      <c r="F7582" s="14"/>
    </row>
    <row r="7583" ht="22.5" customHeight="1">
      <c r="F7583" s="14"/>
    </row>
    <row r="7584" ht="22.5" customHeight="1">
      <c r="F7584" s="14"/>
    </row>
    <row r="7585" ht="22.5" customHeight="1">
      <c r="F7585" s="14"/>
    </row>
    <row r="7586" ht="22.5" customHeight="1">
      <c r="F7586" s="14"/>
    </row>
    <row r="7587" ht="22.5" customHeight="1">
      <c r="F7587" s="14"/>
    </row>
    <row r="7588" ht="22.5" customHeight="1">
      <c r="F7588" s="14"/>
    </row>
    <row r="7589" ht="22.5" customHeight="1">
      <c r="F7589" s="14"/>
    </row>
    <row r="7590" ht="22.5" customHeight="1">
      <c r="F7590" s="14"/>
    </row>
    <row r="7591" ht="22.5" customHeight="1">
      <c r="F7591" s="14"/>
    </row>
    <row r="7592" ht="22.5" customHeight="1">
      <c r="F7592" s="14"/>
    </row>
    <row r="7593" ht="22.5" customHeight="1">
      <c r="F7593" s="14"/>
    </row>
    <row r="7594" ht="22.5" customHeight="1">
      <c r="F7594" s="14"/>
    </row>
    <row r="7595" ht="22.5" customHeight="1">
      <c r="F7595" s="14"/>
    </row>
    <row r="7596" ht="22.5" customHeight="1">
      <c r="F7596" s="14"/>
    </row>
    <row r="7597" ht="22.5" customHeight="1">
      <c r="F7597" s="14"/>
    </row>
    <row r="7598" ht="22.5" customHeight="1">
      <c r="F7598" s="14"/>
    </row>
    <row r="7599" ht="22.5" customHeight="1">
      <c r="F7599" s="14"/>
    </row>
    <row r="7600" ht="22.5" customHeight="1">
      <c r="F7600" s="14"/>
    </row>
    <row r="7601" ht="22.5" customHeight="1">
      <c r="F7601" s="14"/>
    </row>
    <row r="7602" ht="22.5" customHeight="1">
      <c r="F7602" s="14"/>
    </row>
    <row r="7603" ht="22.5" customHeight="1">
      <c r="F7603" s="14"/>
    </row>
    <row r="7604" ht="22.5" customHeight="1">
      <c r="F7604" s="14"/>
    </row>
    <row r="7605" ht="22.5" customHeight="1">
      <c r="F7605" s="14"/>
    </row>
    <row r="7606" ht="22.5" customHeight="1">
      <c r="F7606" s="14"/>
    </row>
    <row r="7607" ht="22.5" customHeight="1">
      <c r="F7607" s="14"/>
    </row>
    <row r="7608" ht="22.5" customHeight="1">
      <c r="F7608" s="14"/>
    </row>
    <row r="7609" ht="22.5" customHeight="1">
      <c r="F7609" s="14"/>
    </row>
    <row r="7610" ht="22.5" customHeight="1">
      <c r="F7610" s="14"/>
    </row>
    <row r="7611" ht="22.5" customHeight="1">
      <c r="F7611" s="14"/>
    </row>
    <row r="7612" ht="22.5" customHeight="1">
      <c r="F7612" s="14"/>
    </row>
    <row r="7613" ht="22.5" customHeight="1">
      <c r="F7613" s="14"/>
    </row>
    <row r="7614" ht="22.5" customHeight="1">
      <c r="F7614" s="14"/>
    </row>
    <row r="7615" ht="22.5" customHeight="1">
      <c r="F7615" s="14"/>
    </row>
    <row r="7616" ht="22.5" customHeight="1">
      <c r="F7616" s="14"/>
    </row>
    <row r="7617" ht="22.5" customHeight="1">
      <c r="F7617" s="14"/>
    </row>
    <row r="7618" ht="22.5" customHeight="1">
      <c r="F7618" s="14"/>
    </row>
    <row r="7619" ht="22.5" customHeight="1">
      <c r="F7619" s="14"/>
    </row>
    <row r="7620" ht="22.5" customHeight="1">
      <c r="F7620" s="14"/>
    </row>
    <row r="7621" ht="22.5" customHeight="1">
      <c r="F7621" s="14"/>
    </row>
    <row r="7622" ht="22.5" customHeight="1">
      <c r="F7622" s="14"/>
    </row>
    <row r="7623" ht="22.5" customHeight="1">
      <c r="F7623" s="14"/>
    </row>
    <row r="7624" ht="22.5" customHeight="1">
      <c r="F7624" s="14"/>
    </row>
    <row r="7625" ht="22.5" customHeight="1">
      <c r="F7625" s="14"/>
    </row>
    <row r="7626" ht="22.5" customHeight="1">
      <c r="F7626" s="14"/>
    </row>
    <row r="7627" ht="22.5" customHeight="1">
      <c r="F7627" s="14"/>
    </row>
    <row r="7628" ht="22.5" customHeight="1">
      <c r="F7628" s="14"/>
    </row>
    <row r="7629" ht="22.5" customHeight="1">
      <c r="F7629" s="14"/>
    </row>
    <row r="7630" ht="22.5" customHeight="1">
      <c r="F7630" s="14"/>
    </row>
    <row r="7631" ht="22.5" customHeight="1">
      <c r="F7631" s="14"/>
    </row>
    <row r="7632" ht="22.5" customHeight="1">
      <c r="F7632" s="14"/>
    </row>
    <row r="7633" ht="22.5" customHeight="1">
      <c r="F7633" s="14"/>
    </row>
    <row r="7634" ht="22.5" customHeight="1">
      <c r="F7634" s="14"/>
    </row>
    <row r="7635" ht="22.5" customHeight="1">
      <c r="F7635" s="14"/>
    </row>
    <row r="7636" ht="22.5" customHeight="1">
      <c r="F7636" s="14"/>
    </row>
    <row r="7637" ht="22.5" customHeight="1">
      <c r="F7637" s="14"/>
    </row>
    <row r="7638" ht="22.5" customHeight="1">
      <c r="F7638" s="14"/>
    </row>
    <row r="7639" ht="22.5" customHeight="1">
      <c r="F7639" s="14"/>
    </row>
    <row r="7640" ht="22.5" customHeight="1">
      <c r="F7640" s="14"/>
    </row>
    <row r="7641" ht="22.5" customHeight="1">
      <c r="F7641" s="14"/>
    </row>
    <row r="7642" ht="22.5" customHeight="1">
      <c r="F7642" s="14"/>
    </row>
    <row r="7643" ht="22.5" customHeight="1">
      <c r="F7643" s="14"/>
    </row>
    <row r="7644" ht="22.5" customHeight="1">
      <c r="F7644" s="14"/>
    </row>
    <row r="7645" ht="22.5" customHeight="1">
      <c r="F7645" s="14"/>
    </row>
    <row r="7646" ht="22.5" customHeight="1">
      <c r="F7646" s="14"/>
    </row>
    <row r="7647" ht="22.5" customHeight="1">
      <c r="F7647" s="14"/>
    </row>
    <row r="7648" ht="22.5" customHeight="1">
      <c r="F7648" s="14"/>
    </row>
    <row r="7649" ht="22.5" customHeight="1">
      <c r="F7649" s="14"/>
    </row>
    <row r="7650" ht="22.5" customHeight="1">
      <c r="F7650" s="14"/>
    </row>
    <row r="7651" ht="22.5" customHeight="1">
      <c r="F7651" s="14"/>
    </row>
    <row r="7652" ht="22.5" customHeight="1">
      <c r="F7652" s="14"/>
    </row>
    <row r="7653" ht="22.5" customHeight="1">
      <c r="F7653" s="14"/>
    </row>
    <row r="7654" ht="22.5" customHeight="1">
      <c r="F7654" s="14"/>
    </row>
    <row r="7655" ht="22.5" customHeight="1">
      <c r="F7655" s="14"/>
    </row>
    <row r="7656" ht="22.5" customHeight="1">
      <c r="F7656" s="14"/>
    </row>
    <row r="7657" ht="22.5" customHeight="1">
      <c r="F7657" s="14"/>
    </row>
    <row r="7658" ht="22.5" customHeight="1">
      <c r="F7658" s="14"/>
    </row>
    <row r="7659" ht="22.5" customHeight="1">
      <c r="F7659" s="14"/>
    </row>
    <row r="7660" ht="22.5" customHeight="1">
      <c r="F7660" s="14"/>
    </row>
    <row r="7661" ht="22.5" customHeight="1">
      <c r="F7661" s="14"/>
    </row>
    <row r="7662" ht="22.5" customHeight="1">
      <c r="F7662" s="14"/>
    </row>
    <row r="7663" ht="22.5" customHeight="1">
      <c r="F7663" s="14"/>
    </row>
    <row r="7664" ht="22.5" customHeight="1">
      <c r="F7664" s="14"/>
    </row>
    <row r="7665" ht="22.5" customHeight="1">
      <c r="F7665" s="14"/>
    </row>
    <row r="7666" ht="22.5" customHeight="1">
      <c r="F7666" s="14"/>
    </row>
    <row r="7667" ht="22.5" customHeight="1">
      <c r="F7667" s="14"/>
    </row>
    <row r="7668" ht="22.5" customHeight="1">
      <c r="F7668" s="14"/>
    </row>
    <row r="7669" ht="22.5" customHeight="1">
      <c r="F7669" s="14"/>
    </row>
    <row r="7670" ht="22.5" customHeight="1">
      <c r="F7670" s="14"/>
    </row>
    <row r="7671" ht="22.5" customHeight="1">
      <c r="F7671" s="14"/>
    </row>
    <row r="7672" ht="22.5" customHeight="1">
      <c r="F7672" s="14"/>
    </row>
    <row r="7673" ht="22.5" customHeight="1">
      <c r="F7673" s="14"/>
    </row>
    <row r="7674" ht="22.5" customHeight="1">
      <c r="F7674" s="14"/>
    </row>
    <row r="7675" ht="22.5" customHeight="1">
      <c r="F7675" s="14"/>
    </row>
    <row r="7676" ht="22.5" customHeight="1">
      <c r="F7676" s="14"/>
    </row>
    <row r="7677" ht="22.5" customHeight="1">
      <c r="F7677" s="14"/>
    </row>
    <row r="7678" ht="22.5" customHeight="1">
      <c r="F7678" s="14"/>
    </row>
    <row r="7679" ht="22.5" customHeight="1">
      <c r="F7679" s="14"/>
    </row>
    <row r="7680" ht="22.5" customHeight="1">
      <c r="F7680" s="14"/>
    </row>
    <row r="7681" ht="22.5" customHeight="1">
      <c r="F7681" s="14"/>
    </row>
    <row r="7682" ht="22.5" customHeight="1">
      <c r="F7682" s="14"/>
    </row>
    <row r="7683" ht="22.5" customHeight="1">
      <c r="F7683" s="14"/>
    </row>
    <row r="7684" ht="22.5" customHeight="1">
      <c r="F7684" s="14"/>
    </row>
    <row r="7685" ht="22.5" customHeight="1">
      <c r="F7685" s="14"/>
    </row>
    <row r="7686" ht="22.5" customHeight="1">
      <c r="F7686" s="14"/>
    </row>
    <row r="7687" ht="22.5" customHeight="1">
      <c r="F7687" s="14"/>
    </row>
    <row r="7688" ht="22.5" customHeight="1">
      <c r="F7688" s="14"/>
    </row>
    <row r="7689" ht="22.5" customHeight="1">
      <c r="F7689" s="14"/>
    </row>
    <row r="7690" ht="22.5" customHeight="1">
      <c r="F7690" s="14"/>
    </row>
    <row r="7691" ht="22.5" customHeight="1">
      <c r="F7691" s="14"/>
    </row>
    <row r="7692" ht="22.5" customHeight="1">
      <c r="F7692" s="14"/>
    </row>
    <row r="7693" ht="22.5" customHeight="1">
      <c r="F7693" s="14"/>
    </row>
    <row r="7694" ht="22.5" customHeight="1">
      <c r="F7694" s="14"/>
    </row>
    <row r="7695" ht="22.5" customHeight="1">
      <c r="F7695" s="14"/>
    </row>
    <row r="7696" ht="22.5" customHeight="1">
      <c r="F7696" s="14"/>
    </row>
    <row r="7697" ht="22.5" customHeight="1">
      <c r="F7697" s="14"/>
    </row>
    <row r="7698" ht="22.5" customHeight="1">
      <c r="F7698" s="14"/>
    </row>
    <row r="7699" ht="22.5" customHeight="1">
      <c r="F7699" s="14"/>
    </row>
    <row r="7700" ht="22.5" customHeight="1">
      <c r="F7700" s="14"/>
    </row>
    <row r="7701" ht="22.5" customHeight="1">
      <c r="F7701" s="14"/>
    </row>
    <row r="7702" ht="22.5" customHeight="1">
      <c r="F7702" s="14"/>
    </row>
    <row r="7703" ht="22.5" customHeight="1">
      <c r="F7703" s="14"/>
    </row>
    <row r="7704" ht="22.5" customHeight="1">
      <c r="F7704" s="14"/>
    </row>
    <row r="7705" ht="22.5" customHeight="1">
      <c r="F7705" s="14"/>
    </row>
    <row r="7706" ht="22.5" customHeight="1">
      <c r="F7706" s="14"/>
    </row>
    <row r="7707" ht="22.5" customHeight="1">
      <c r="F7707" s="14"/>
    </row>
    <row r="7708" ht="22.5" customHeight="1">
      <c r="F7708" s="14"/>
    </row>
    <row r="7709" ht="22.5" customHeight="1">
      <c r="F7709" s="14"/>
    </row>
    <row r="7710" ht="22.5" customHeight="1">
      <c r="F7710" s="14"/>
    </row>
    <row r="7711" ht="22.5" customHeight="1">
      <c r="F7711" s="14"/>
    </row>
    <row r="7712" ht="22.5" customHeight="1">
      <c r="F7712" s="14"/>
    </row>
    <row r="7713" ht="22.5" customHeight="1">
      <c r="F7713" s="14"/>
    </row>
    <row r="7714" ht="22.5" customHeight="1">
      <c r="F7714" s="14"/>
    </row>
    <row r="7715" ht="22.5" customHeight="1">
      <c r="F7715" s="14"/>
    </row>
    <row r="7716" ht="22.5" customHeight="1">
      <c r="F7716" s="14"/>
    </row>
    <row r="7717" ht="22.5" customHeight="1">
      <c r="F7717" s="14"/>
    </row>
    <row r="7718" ht="22.5" customHeight="1">
      <c r="F7718" s="14"/>
    </row>
    <row r="7719" ht="22.5" customHeight="1">
      <c r="F7719" s="14"/>
    </row>
    <row r="7720" ht="22.5" customHeight="1">
      <c r="F7720" s="14"/>
    </row>
    <row r="7721" ht="22.5" customHeight="1">
      <c r="F7721" s="14"/>
    </row>
    <row r="7722" ht="22.5" customHeight="1">
      <c r="F7722" s="14"/>
    </row>
    <row r="7723" ht="22.5" customHeight="1">
      <c r="F7723" s="14"/>
    </row>
    <row r="7724" ht="22.5" customHeight="1">
      <c r="F7724" s="14"/>
    </row>
    <row r="7725" ht="22.5" customHeight="1">
      <c r="F7725" s="14"/>
    </row>
    <row r="7726" ht="22.5" customHeight="1">
      <c r="F7726" s="14"/>
    </row>
    <row r="7727" ht="22.5" customHeight="1">
      <c r="F7727" s="14"/>
    </row>
    <row r="7728" ht="22.5" customHeight="1">
      <c r="F7728" s="14"/>
    </row>
    <row r="7729" ht="22.5" customHeight="1">
      <c r="F7729" s="14"/>
    </row>
    <row r="7730" ht="22.5" customHeight="1">
      <c r="F7730" s="14"/>
    </row>
    <row r="7731" ht="22.5" customHeight="1">
      <c r="F7731" s="14"/>
    </row>
    <row r="7732" ht="22.5" customHeight="1">
      <c r="F7732" s="14"/>
    </row>
    <row r="7733" ht="22.5" customHeight="1">
      <c r="F7733" s="14"/>
    </row>
    <row r="7734" ht="22.5" customHeight="1">
      <c r="F7734" s="14"/>
    </row>
    <row r="7735" ht="22.5" customHeight="1">
      <c r="F7735" s="14"/>
    </row>
    <row r="7736" ht="22.5" customHeight="1">
      <c r="F7736" s="14"/>
    </row>
    <row r="7737" ht="22.5" customHeight="1">
      <c r="F7737" s="14"/>
    </row>
    <row r="7738" ht="22.5" customHeight="1">
      <c r="F7738" s="14"/>
    </row>
    <row r="7739" ht="22.5" customHeight="1">
      <c r="F7739" s="14"/>
    </row>
    <row r="7740" ht="22.5" customHeight="1">
      <c r="F7740" s="14"/>
    </row>
    <row r="7741" ht="22.5" customHeight="1">
      <c r="F7741" s="14"/>
    </row>
    <row r="7742" ht="22.5" customHeight="1">
      <c r="F7742" s="14"/>
    </row>
    <row r="7743" ht="22.5" customHeight="1">
      <c r="F7743" s="14"/>
    </row>
    <row r="7744" ht="22.5" customHeight="1">
      <c r="F7744" s="14"/>
    </row>
    <row r="7745" ht="22.5" customHeight="1">
      <c r="F7745" s="14"/>
    </row>
    <row r="7746" ht="22.5" customHeight="1">
      <c r="F7746" s="14"/>
    </row>
    <row r="7747" ht="22.5" customHeight="1">
      <c r="F7747" s="14"/>
    </row>
    <row r="7748" ht="22.5" customHeight="1">
      <c r="F7748" s="14"/>
    </row>
    <row r="7749" ht="22.5" customHeight="1">
      <c r="F7749" s="14"/>
    </row>
    <row r="7750" ht="22.5" customHeight="1">
      <c r="F7750" s="14"/>
    </row>
    <row r="7751" ht="22.5" customHeight="1">
      <c r="F7751" s="14"/>
    </row>
    <row r="7752" ht="22.5" customHeight="1">
      <c r="F7752" s="14"/>
    </row>
    <row r="7753" ht="22.5" customHeight="1">
      <c r="F7753" s="14"/>
    </row>
    <row r="7754" ht="22.5" customHeight="1">
      <c r="F7754" s="14"/>
    </row>
    <row r="7755" ht="22.5" customHeight="1">
      <c r="F7755" s="14"/>
    </row>
    <row r="7756" ht="22.5" customHeight="1">
      <c r="F7756" s="14"/>
    </row>
    <row r="7757" ht="22.5" customHeight="1">
      <c r="F7757" s="14"/>
    </row>
    <row r="7758" ht="22.5" customHeight="1">
      <c r="F7758" s="14"/>
    </row>
    <row r="7759" ht="22.5" customHeight="1">
      <c r="F7759" s="14"/>
    </row>
    <row r="7760" ht="22.5" customHeight="1">
      <c r="F7760" s="14"/>
    </row>
    <row r="7761" ht="22.5" customHeight="1">
      <c r="F7761" s="14"/>
    </row>
    <row r="7762" ht="22.5" customHeight="1">
      <c r="F7762" s="14"/>
    </row>
    <row r="7763" ht="22.5" customHeight="1">
      <c r="F7763" s="14"/>
    </row>
    <row r="7764" ht="22.5" customHeight="1">
      <c r="F7764" s="14"/>
    </row>
    <row r="7765" ht="22.5" customHeight="1">
      <c r="F7765" s="14"/>
    </row>
    <row r="7766" ht="22.5" customHeight="1">
      <c r="F7766" s="14"/>
    </row>
    <row r="7767" ht="22.5" customHeight="1">
      <c r="F7767" s="14"/>
    </row>
    <row r="7768" ht="22.5" customHeight="1">
      <c r="F7768" s="14"/>
    </row>
    <row r="7769" ht="22.5" customHeight="1">
      <c r="F7769" s="14"/>
    </row>
    <row r="7770" ht="22.5" customHeight="1">
      <c r="F7770" s="14"/>
    </row>
    <row r="7771" ht="22.5" customHeight="1">
      <c r="F7771" s="14"/>
    </row>
    <row r="7772" ht="22.5" customHeight="1">
      <c r="F7772" s="14"/>
    </row>
    <row r="7773" ht="22.5" customHeight="1">
      <c r="F7773" s="14"/>
    </row>
    <row r="7774" ht="22.5" customHeight="1">
      <c r="F7774" s="14"/>
    </row>
    <row r="7775" ht="22.5" customHeight="1">
      <c r="F7775" s="14"/>
    </row>
    <row r="7776" ht="22.5" customHeight="1">
      <c r="F7776" s="14"/>
    </row>
    <row r="7777" ht="22.5" customHeight="1">
      <c r="F7777" s="14"/>
    </row>
    <row r="7778" ht="22.5" customHeight="1">
      <c r="F7778" s="14"/>
    </row>
    <row r="7779" ht="22.5" customHeight="1">
      <c r="F7779" s="14"/>
    </row>
    <row r="7780" ht="22.5" customHeight="1">
      <c r="F7780" s="14"/>
    </row>
    <row r="7781" ht="22.5" customHeight="1">
      <c r="F7781" s="14"/>
    </row>
    <row r="7782" ht="22.5" customHeight="1">
      <c r="F7782" s="14"/>
    </row>
    <row r="7783" ht="22.5" customHeight="1">
      <c r="F7783" s="14"/>
    </row>
    <row r="7784" ht="22.5" customHeight="1">
      <c r="F7784" s="14"/>
    </row>
    <row r="7785" ht="22.5" customHeight="1">
      <c r="F7785" s="14"/>
    </row>
    <row r="7786" ht="22.5" customHeight="1">
      <c r="F7786" s="14"/>
    </row>
    <row r="7787" ht="22.5" customHeight="1">
      <c r="F7787" s="14"/>
    </row>
    <row r="7788" ht="22.5" customHeight="1">
      <c r="F7788" s="14"/>
    </row>
    <row r="7789" ht="22.5" customHeight="1">
      <c r="F7789" s="14"/>
    </row>
    <row r="7790" ht="22.5" customHeight="1">
      <c r="F7790" s="14"/>
    </row>
    <row r="7791" ht="22.5" customHeight="1">
      <c r="F7791" s="14"/>
    </row>
    <row r="7792" ht="22.5" customHeight="1">
      <c r="F7792" s="14"/>
    </row>
    <row r="7793" ht="22.5" customHeight="1">
      <c r="F7793" s="14"/>
    </row>
    <row r="7794" ht="22.5" customHeight="1">
      <c r="F7794" s="14"/>
    </row>
    <row r="7795" ht="22.5" customHeight="1">
      <c r="F7795" s="14"/>
    </row>
    <row r="7796" ht="22.5" customHeight="1">
      <c r="F7796" s="14"/>
    </row>
    <row r="7797" ht="22.5" customHeight="1">
      <c r="F7797" s="14"/>
    </row>
    <row r="7798" ht="22.5" customHeight="1">
      <c r="F7798" s="14"/>
    </row>
    <row r="7799" ht="22.5" customHeight="1">
      <c r="F7799" s="14"/>
    </row>
    <row r="7800" ht="22.5" customHeight="1">
      <c r="F7800" s="14"/>
    </row>
    <row r="7801" ht="22.5" customHeight="1">
      <c r="F7801" s="14"/>
    </row>
    <row r="7802" ht="22.5" customHeight="1">
      <c r="F7802" s="14"/>
    </row>
    <row r="7803" ht="22.5" customHeight="1">
      <c r="F7803" s="14"/>
    </row>
    <row r="7804" ht="22.5" customHeight="1">
      <c r="F7804" s="14"/>
    </row>
    <row r="7805" ht="22.5" customHeight="1">
      <c r="F7805" s="14"/>
    </row>
    <row r="7806" ht="22.5" customHeight="1">
      <c r="F7806" s="14"/>
    </row>
    <row r="7807" ht="22.5" customHeight="1">
      <c r="F7807" s="14"/>
    </row>
    <row r="7808" ht="22.5" customHeight="1">
      <c r="F7808" s="14"/>
    </row>
    <row r="7809" ht="22.5" customHeight="1">
      <c r="F7809" s="14"/>
    </row>
    <row r="7810" ht="22.5" customHeight="1">
      <c r="F7810" s="14"/>
    </row>
    <row r="7811" ht="22.5" customHeight="1">
      <c r="F7811" s="14"/>
    </row>
    <row r="7812" ht="22.5" customHeight="1">
      <c r="F7812" s="14"/>
    </row>
    <row r="7813" ht="22.5" customHeight="1">
      <c r="F7813" s="14"/>
    </row>
    <row r="7814" ht="22.5" customHeight="1">
      <c r="F7814" s="14"/>
    </row>
    <row r="7815" ht="22.5" customHeight="1">
      <c r="F7815" s="14"/>
    </row>
    <row r="7816" ht="22.5" customHeight="1">
      <c r="F7816" s="14"/>
    </row>
    <row r="7817" ht="22.5" customHeight="1">
      <c r="F7817" s="14"/>
    </row>
    <row r="7818" ht="22.5" customHeight="1">
      <c r="F7818" s="14"/>
    </row>
    <row r="7819" ht="22.5" customHeight="1">
      <c r="F7819" s="14"/>
    </row>
    <row r="7820" ht="22.5" customHeight="1">
      <c r="F7820" s="14"/>
    </row>
    <row r="7821" ht="22.5" customHeight="1">
      <c r="F7821" s="14"/>
    </row>
    <row r="7822" ht="22.5" customHeight="1">
      <c r="F7822" s="14"/>
    </row>
    <row r="7823" ht="22.5" customHeight="1">
      <c r="F7823" s="14"/>
    </row>
    <row r="7824" ht="22.5" customHeight="1">
      <c r="F7824" s="14"/>
    </row>
    <row r="7825" ht="22.5" customHeight="1">
      <c r="F7825" s="14"/>
    </row>
    <row r="7826" ht="22.5" customHeight="1">
      <c r="F7826" s="14"/>
    </row>
    <row r="7827" ht="22.5" customHeight="1">
      <c r="F7827" s="14"/>
    </row>
    <row r="7828" ht="22.5" customHeight="1">
      <c r="F7828" s="14"/>
    </row>
    <row r="7829" ht="22.5" customHeight="1">
      <c r="F7829" s="14"/>
    </row>
    <row r="7830" ht="22.5" customHeight="1">
      <c r="F7830" s="14"/>
    </row>
    <row r="7831" ht="22.5" customHeight="1">
      <c r="F7831" s="14"/>
    </row>
    <row r="7832" ht="22.5" customHeight="1">
      <c r="F7832" s="14"/>
    </row>
    <row r="7833" ht="22.5" customHeight="1">
      <c r="F7833" s="14"/>
    </row>
    <row r="7834" ht="22.5" customHeight="1">
      <c r="F7834" s="14"/>
    </row>
    <row r="7835" ht="22.5" customHeight="1">
      <c r="F7835" s="14"/>
    </row>
    <row r="7836" ht="22.5" customHeight="1">
      <c r="F7836" s="14"/>
    </row>
    <row r="7837" ht="22.5" customHeight="1">
      <c r="F7837" s="14"/>
    </row>
    <row r="7838" ht="22.5" customHeight="1">
      <c r="F7838" s="14"/>
    </row>
    <row r="7839" ht="22.5" customHeight="1">
      <c r="F7839" s="14"/>
    </row>
    <row r="7840" ht="22.5" customHeight="1">
      <c r="F7840" s="14"/>
    </row>
    <row r="7841" ht="22.5" customHeight="1">
      <c r="F7841" s="14"/>
    </row>
    <row r="7842" ht="22.5" customHeight="1">
      <c r="F7842" s="14"/>
    </row>
    <row r="7843" ht="22.5" customHeight="1">
      <c r="F7843" s="14"/>
    </row>
    <row r="7844" ht="22.5" customHeight="1">
      <c r="F7844" s="14"/>
    </row>
    <row r="7845" ht="22.5" customHeight="1">
      <c r="F7845" s="14"/>
    </row>
    <row r="7846" ht="22.5" customHeight="1">
      <c r="F7846" s="14"/>
    </row>
    <row r="7847" ht="22.5" customHeight="1">
      <c r="F7847" s="14"/>
    </row>
    <row r="7848" ht="22.5" customHeight="1">
      <c r="F7848" s="14"/>
    </row>
    <row r="7849" ht="22.5" customHeight="1">
      <c r="F7849" s="14"/>
    </row>
    <row r="7850" ht="22.5" customHeight="1">
      <c r="F7850" s="14"/>
    </row>
    <row r="7851" ht="22.5" customHeight="1">
      <c r="F7851" s="14"/>
    </row>
    <row r="7852" ht="22.5" customHeight="1">
      <c r="F7852" s="14"/>
    </row>
    <row r="7853" ht="22.5" customHeight="1">
      <c r="F7853" s="14"/>
    </row>
    <row r="7854" ht="22.5" customHeight="1">
      <c r="F7854" s="14"/>
    </row>
    <row r="7855" ht="22.5" customHeight="1">
      <c r="F7855" s="14"/>
    </row>
    <row r="7856" ht="22.5" customHeight="1">
      <c r="F7856" s="14"/>
    </row>
    <row r="7857" ht="22.5" customHeight="1">
      <c r="F7857" s="14"/>
    </row>
    <row r="7858" ht="22.5" customHeight="1">
      <c r="F7858" s="14"/>
    </row>
    <row r="7859" ht="22.5" customHeight="1">
      <c r="F7859" s="14"/>
    </row>
    <row r="7860" ht="22.5" customHeight="1">
      <c r="F7860" s="14"/>
    </row>
    <row r="7861" ht="22.5" customHeight="1">
      <c r="F7861" s="14"/>
    </row>
    <row r="7862" ht="22.5" customHeight="1">
      <c r="F7862" s="14"/>
    </row>
    <row r="7863" ht="22.5" customHeight="1">
      <c r="F7863" s="14"/>
    </row>
    <row r="7864" ht="22.5" customHeight="1">
      <c r="F7864" s="14"/>
    </row>
    <row r="7865" ht="22.5" customHeight="1">
      <c r="F7865" s="14"/>
    </row>
    <row r="7866" ht="22.5" customHeight="1">
      <c r="F7866" s="14"/>
    </row>
    <row r="7867" ht="22.5" customHeight="1">
      <c r="F7867" s="14"/>
    </row>
    <row r="7868" ht="22.5" customHeight="1">
      <c r="F7868" s="14"/>
    </row>
    <row r="7869" ht="22.5" customHeight="1">
      <c r="F7869" s="14"/>
    </row>
    <row r="7870" ht="22.5" customHeight="1">
      <c r="F7870" s="14"/>
    </row>
    <row r="7871" ht="22.5" customHeight="1">
      <c r="F7871" s="14"/>
    </row>
    <row r="7872" ht="22.5" customHeight="1">
      <c r="F7872" s="14"/>
    </row>
    <row r="7873" ht="22.5" customHeight="1">
      <c r="F7873" s="14"/>
    </row>
    <row r="7874" ht="22.5" customHeight="1">
      <c r="F7874" s="14"/>
    </row>
    <row r="7875" ht="22.5" customHeight="1">
      <c r="F7875" s="14"/>
    </row>
    <row r="7876" ht="22.5" customHeight="1">
      <c r="F7876" s="14"/>
    </row>
    <row r="7877" ht="22.5" customHeight="1">
      <c r="F7877" s="14"/>
    </row>
    <row r="7878" ht="22.5" customHeight="1">
      <c r="F7878" s="14"/>
    </row>
    <row r="7879" ht="22.5" customHeight="1">
      <c r="F7879" s="14"/>
    </row>
    <row r="7880" ht="22.5" customHeight="1">
      <c r="F7880" s="14"/>
    </row>
    <row r="7881" ht="22.5" customHeight="1">
      <c r="F7881" s="14"/>
    </row>
    <row r="7882" ht="22.5" customHeight="1">
      <c r="F7882" s="14"/>
    </row>
    <row r="7883" ht="22.5" customHeight="1">
      <c r="F7883" s="14"/>
    </row>
    <row r="7884" ht="22.5" customHeight="1">
      <c r="F7884" s="14"/>
    </row>
    <row r="7885" ht="22.5" customHeight="1">
      <c r="F7885" s="14"/>
    </row>
    <row r="7886" ht="22.5" customHeight="1">
      <c r="F7886" s="14"/>
    </row>
    <row r="7887" ht="22.5" customHeight="1">
      <c r="F7887" s="14"/>
    </row>
    <row r="7888" ht="22.5" customHeight="1">
      <c r="F7888" s="14"/>
    </row>
    <row r="7889" ht="22.5" customHeight="1">
      <c r="F7889" s="14"/>
    </row>
    <row r="7890" ht="22.5" customHeight="1">
      <c r="F7890" s="14"/>
    </row>
    <row r="7891" ht="22.5" customHeight="1">
      <c r="F7891" s="14"/>
    </row>
    <row r="7892" ht="22.5" customHeight="1">
      <c r="F7892" s="14"/>
    </row>
    <row r="7893" ht="22.5" customHeight="1">
      <c r="F7893" s="14"/>
    </row>
    <row r="7894" ht="22.5" customHeight="1">
      <c r="F7894" s="14"/>
    </row>
    <row r="7895" ht="22.5" customHeight="1">
      <c r="F7895" s="14"/>
    </row>
    <row r="7896" ht="22.5" customHeight="1">
      <c r="F7896" s="14"/>
    </row>
    <row r="7897" ht="22.5" customHeight="1">
      <c r="F7897" s="14"/>
    </row>
    <row r="7898" ht="22.5" customHeight="1">
      <c r="F7898" s="14"/>
    </row>
    <row r="7899" ht="22.5" customHeight="1">
      <c r="F7899" s="14"/>
    </row>
    <row r="7900" ht="22.5" customHeight="1">
      <c r="F7900" s="14"/>
    </row>
    <row r="7901" ht="22.5" customHeight="1">
      <c r="F7901" s="14"/>
    </row>
    <row r="7902" ht="22.5" customHeight="1">
      <c r="F7902" s="14"/>
    </row>
    <row r="7903" ht="22.5" customHeight="1">
      <c r="F7903" s="14"/>
    </row>
    <row r="7904" ht="22.5" customHeight="1">
      <c r="F7904" s="14"/>
    </row>
    <row r="7905" ht="22.5" customHeight="1">
      <c r="F7905" s="14"/>
    </row>
    <row r="7906" ht="22.5" customHeight="1">
      <c r="F7906" s="14"/>
    </row>
    <row r="7907" ht="22.5" customHeight="1">
      <c r="F7907" s="14"/>
    </row>
    <row r="7908" ht="22.5" customHeight="1">
      <c r="F7908" s="14"/>
    </row>
    <row r="7909" ht="22.5" customHeight="1">
      <c r="F7909" s="14"/>
    </row>
    <row r="7910" ht="22.5" customHeight="1">
      <c r="F7910" s="14"/>
    </row>
    <row r="7911" ht="22.5" customHeight="1">
      <c r="F7911" s="14"/>
    </row>
    <row r="7912" ht="22.5" customHeight="1">
      <c r="F7912" s="14"/>
    </row>
    <row r="7913" ht="22.5" customHeight="1">
      <c r="F7913" s="14"/>
    </row>
    <row r="7914" ht="22.5" customHeight="1">
      <c r="F7914" s="14"/>
    </row>
    <row r="7915" ht="22.5" customHeight="1">
      <c r="F7915" s="14"/>
    </row>
    <row r="7916" ht="22.5" customHeight="1">
      <c r="F7916" s="14"/>
    </row>
    <row r="7917" ht="22.5" customHeight="1">
      <c r="F7917" s="14"/>
    </row>
    <row r="7918" ht="22.5" customHeight="1">
      <c r="F7918" s="14"/>
    </row>
    <row r="7919" ht="22.5" customHeight="1">
      <c r="F7919" s="14"/>
    </row>
    <row r="7920" ht="22.5" customHeight="1">
      <c r="F7920" s="14"/>
    </row>
    <row r="7921" ht="22.5" customHeight="1">
      <c r="F7921" s="14"/>
    </row>
    <row r="7922" ht="22.5" customHeight="1">
      <c r="F7922" s="14"/>
    </row>
    <row r="7923" ht="22.5" customHeight="1">
      <c r="F7923" s="14"/>
    </row>
    <row r="7924" ht="22.5" customHeight="1">
      <c r="F7924" s="14"/>
    </row>
    <row r="7925" ht="22.5" customHeight="1">
      <c r="F7925" s="14"/>
    </row>
    <row r="7926" ht="22.5" customHeight="1">
      <c r="F7926" s="14"/>
    </row>
    <row r="7927" ht="22.5" customHeight="1">
      <c r="F7927" s="14"/>
    </row>
    <row r="7928" ht="22.5" customHeight="1">
      <c r="F7928" s="14"/>
    </row>
    <row r="7929" ht="22.5" customHeight="1">
      <c r="F7929" s="14"/>
    </row>
    <row r="7930" ht="22.5" customHeight="1">
      <c r="F7930" s="14"/>
    </row>
    <row r="7931" ht="22.5" customHeight="1">
      <c r="F7931" s="14"/>
    </row>
    <row r="7932" ht="22.5" customHeight="1">
      <c r="F7932" s="14"/>
    </row>
    <row r="7933" ht="22.5" customHeight="1">
      <c r="F7933" s="14"/>
    </row>
    <row r="7934" ht="22.5" customHeight="1">
      <c r="F7934" s="14"/>
    </row>
    <row r="7935" ht="22.5" customHeight="1">
      <c r="F7935" s="14"/>
    </row>
    <row r="7936" ht="22.5" customHeight="1">
      <c r="F7936" s="14"/>
    </row>
    <row r="7937" ht="22.5" customHeight="1">
      <c r="F7937" s="14"/>
    </row>
    <row r="7938" ht="22.5" customHeight="1">
      <c r="F7938" s="14"/>
    </row>
    <row r="7939" ht="22.5" customHeight="1">
      <c r="F7939" s="14"/>
    </row>
    <row r="7940" ht="22.5" customHeight="1">
      <c r="F7940" s="14"/>
    </row>
    <row r="7941" ht="22.5" customHeight="1">
      <c r="F7941" s="14"/>
    </row>
    <row r="7942" ht="22.5" customHeight="1">
      <c r="F7942" s="14"/>
    </row>
    <row r="7943" ht="22.5" customHeight="1">
      <c r="F7943" s="14"/>
    </row>
    <row r="7944" ht="22.5" customHeight="1">
      <c r="F7944" s="14"/>
    </row>
    <row r="7945" ht="22.5" customHeight="1">
      <c r="F7945" s="14"/>
    </row>
    <row r="7946" ht="22.5" customHeight="1">
      <c r="F7946" s="14"/>
    </row>
    <row r="7947" ht="22.5" customHeight="1">
      <c r="F7947" s="14"/>
    </row>
    <row r="7948" ht="22.5" customHeight="1">
      <c r="F7948" s="14"/>
    </row>
    <row r="7949" ht="22.5" customHeight="1">
      <c r="F7949" s="14"/>
    </row>
    <row r="7950" ht="22.5" customHeight="1">
      <c r="F7950" s="14"/>
    </row>
    <row r="7951" ht="22.5" customHeight="1">
      <c r="F7951" s="14"/>
    </row>
    <row r="7952" ht="22.5" customHeight="1">
      <c r="F7952" s="14"/>
    </row>
    <row r="7953" ht="22.5" customHeight="1">
      <c r="F7953" s="14"/>
    </row>
    <row r="7954" ht="22.5" customHeight="1">
      <c r="F7954" s="14"/>
    </row>
    <row r="7955" ht="22.5" customHeight="1">
      <c r="F7955" s="14"/>
    </row>
    <row r="7956" ht="22.5" customHeight="1">
      <c r="F7956" s="14"/>
    </row>
    <row r="7957" ht="22.5" customHeight="1">
      <c r="F7957" s="14"/>
    </row>
    <row r="7958" ht="22.5" customHeight="1">
      <c r="F7958" s="14"/>
    </row>
    <row r="7959" ht="22.5" customHeight="1">
      <c r="F7959" s="14"/>
    </row>
    <row r="7960" ht="22.5" customHeight="1">
      <c r="F7960" s="14"/>
    </row>
    <row r="7961" ht="22.5" customHeight="1">
      <c r="F7961" s="14"/>
    </row>
    <row r="7962" ht="22.5" customHeight="1">
      <c r="F7962" s="14"/>
    </row>
    <row r="7963" ht="22.5" customHeight="1">
      <c r="F7963" s="14"/>
    </row>
    <row r="7964" ht="22.5" customHeight="1">
      <c r="F7964" s="14"/>
    </row>
    <row r="7965" ht="22.5" customHeight="1">
      <c r="F7965" s="14"/>
    </row>
    <row r="7966" ht="22.5" customHeight="1">
      <c r="F7966" s="14"/>
    </row>
    <row r="7967" ht="22.5" customHeight="1">
      <c r="F7967" s="14"/>
    </row>
    <row r="7968" ht="22.5" customHeight="1">
      <c r="F7968" s="14"/>
    </row>
    <row r="7969" ht="22.5" customHeight="1">
      <c r="F7969" s="14"/>
    </row>
    <row r="7970" ht="22.5" customHeight="1">
      <c r="F7970" s="14"/>
    </row>
    <row r="7971" ht="22.5" customHeight="1">
      <c r="F7971" s="14"/>
    </row>
    <row r="7972" ht="22.5" customHeight="1">
      <c r="F7972" s="14"/>
    </row>
    <row r="7973" ht="22.5" customHeight="1">
      <c r="F7973" s="14"/>
    </row>
    <row r="7974" ht="22.5" customHeight="1">
      <c r="F7974" s="14"/>
    </row>
    <row r="7975" ht="22.5" customHeight="1">
      <c r="F7975" s="14"/>
    </row>
    <row r="7976" ht="22.5" customHeight="1">
      <c r="F7976" s="14"/>
    </row>
    <row r="7977" ht="22.5" customHeight="1">
      <c r="F7977" s="14"/>
    </row>
    <row r="7978" ht="22.5" customHeight="1">
      <c r="F7978" s="14"/>
    </row>
    <row r="7979" ht="22.5" customHeight="1">
      <c r="F7979" s="14"/>
    </row>
    <row r="7980" ht="22.5" customHeight="1">
      <c r="F7980" s="14"/>
    </row>
    <row r="7981" ht="22.5" customHeight="1">
      <c r="F7981" s="14"/>
    </row>
    <row r="7982" ht="22.5" customHeight="1">
      <c r="F7982" s="14"/>
    </row>
    <row r="7983" ht="22.5" customHeight="1">
      <c r="F7983" s="14"/>
    </row>
    <row r="7984" ht="22.5" customHeight="1">
      <c r="F7984" s="14"/>
    </row>
    <row r="7985" ht="22.5" customHeight="1">
      <c r="F7985" s="14"/>
    </row>
    <row r="7986" ht="22.5" customHeight="1">
      <c r="F7986" s="14"/>
    </row>
    <row r="7987" ht="22.5" customHeight="1">
      <c r="F7987" s="14"/>
    </row>
    <row r="7988" ht="22.5" customHeight="1">
      <c r="F7988" s="14"/>
    </row>
    <row r="7989" ht="22.5" customHeight="1">
      <c r="F7989" s="14"/>
    </row>
    <row r="7990" ht="22.5" customHeight="1">
      <c r="F7990" s="14"/>
    </row>
    <row r="7991" ht="22.5" customHeight="1">
      <c r="F7991" s="14"/>
    </row>
    <row r="7992" ht="22.5" customHeight="1">
      <c r="F7992" s="14"/>
    </row>
    <row r="7993" ht="22.5" customHeight="1">
      <c r="F7993" s="14"/>
    </row>
    <row r="7994" ht="22.5" customHeight="1">
      <c r="F7994" s="14"/>
    </row>
    <row r="7995" ht="22.5" customHeight="1">
      <c r="F7995" s="14"/>
    </row>
    <row r="7996" ht="22.5" customHeight="1">
      <c r="F7996" s="14"/>
    </row>
    <row r="7997" ht="22.5" customHeight="1">
      <c r="F7997" s="14"/>
    </row>
    <row r="7998" ht="22.5" customHeight="1">
      <c r="F7998" s="14"/>
    </row>
    <row r="7999" ht="22.5" customHeight="1">
      <c r="F7999" s="14"/>
    </row>
    <row r="8000" ht="22.5" customHeight="1">
      <c r="F8000" s="14"/>
    </row>
    <row r="8001" ht="22.5" customHeight="1">
      <c r="F8001" s="14"/>
    </row>
    <row r="8002" ht="22.5" customHeight="1">
      <c r="F8002" s="14"/>
    </row>
    <row r="8003" ht="22.5" customHeight="1">
      <c r="F8003" s="14"/>
    </row>
    <row r="8004" ht="22.5" customHeight="1">
      <c r="F8004" s="14"/>
    </row>
    <row r="8005" ht="22.5" customHeight="1">
      <c r="F8005" s="14"/>
    </row>
    <row r="8006" ht="22.5" customHeight="1">
      <c r="F8006" s="14"/>
    </row>
    <row r="8007" ht="22.5" customHeight="1">
      <c r="F8007" s="14"/>
    </row>
    <row r="8008" ht="22.5" customHeight="1">
      <c r="F8008" s="14"/>
    </row>
    <row r="8009" ht="22.5" customHeight="1">
      <c r="F8009" s="14"/>
    </row>
    <row r="8010" ht="22.5" customHeight="1">
      <c r="F8010" s="14"/>
    </row>
    <row r="8011" ht="22.5" customHeight="1">
      <c r="F8011" s="14"/>
    </row>
    <row r="8012" ht="22.5" customHeight="1">
      <c r="F8012" s="14"/>
    </row>
    <row r="8013" ht="22.5" customHeight="1">
      <c r="F8013" s="14"/>
    </row>
    <row r="8014" ht="22.5" customHeight="1">
      <c r="F8014" s="14"/>
    </row>
    <row r="8015" ht="22.5" customHeight="1">
      <c r="F8015" s="14"/>
    </row>
    <row r="8016" ht="22.5" customHeight="1">
      <c r="F8016" s="14"/>
    </row>
    <row r="8017" ht="22.5" customHeight="1">
      <c r="F8017" s="14"/>
    </row>
    <row r="8018" ht="22.5" customHeight="1">
      <c r="F8018" s="14"/>
    </row>
    <row r="8019" ht="22.5" customHeight="1">
      <c r="F8019" s="14"/>
    </row>
    <row r="8020" ht="22.5" customHeight="1">
      <c r="F8020" s="14"/>
    </row>
    <row r="8021" ht="22.5" customHeight="1">
      <c r="F8021" s="14"/>
    </row>
    <row r="8022" ht="22.5" customHeight="1">
      <c r="F8022" s="14"/>
    </row>
    <row r="8023" ht="22.5" customHeight="1">
      <c r="F8023" s="14"/>
    </row>
    <row r="8024" ht="22.5" customHeight="1">
      <c r="F8024" s="14"/>
    </row>
    <row r="8025" ht="22.5" customHeight="1">
      <c r="F8025" s="14"/>
    </row>
    <row r="8026" ht="22.5" customHeight="1">
      <c r="F8026" s="14"/>
    </row>
    <row r="8027" ht="22.5" customHeight="1">
      <c r="F8027" s="14"/>
    </row>
    <row r="8028" ht="22.5" customHeight="1">
      <c r="F8028" s="14"/>
    </row>
    <row r="8029" ht="22.5" customHeight="1">
      <c r="F8029" s="14"/>
    </row>
    <row r="8030" ht="22.5" customHeight="1">
      <c r="F8030" s="14"/>
    </row>
    <row r="8031" ht="22.5" customHeight="1">
      <c r="F8031" s="14"/>
    </row>
    <row r="8032" ht="22.5" customHeight="1">
      <c r="F8032" s="14"/>
    </row>
    <row r="8033" ht="22.5" customHeight="1">
      <c r="F8033" s="14"/>
    </row>
    <row r="8034" ht="22.5" customHeight="1">
      <c r="F8034" s="14"/>
    </row>
    <row r="8035" ht="22.5" customHeight="1">
      <c r="F8035" s="14"/>
    </row>
    <row r="8036" ht="22.5" customHeight="1">
      <c r="F8036" s="14"/>
    </row>
    <row r="8037" ht="22.5" customHeight="1">
      <c r="F8037" s="14"/>
    </row>
    <row r="8038" ht="22.5" customHeight="1">
      <c r="F8038" s="14"/>
    </row>
    <row r="8039" ht="22.5" customHeight="1">
      <c r="F8039" s="14"/>
    </row>
    <row r="8040" ht="22.5" customHeight="1">
      <c r="F8040" s="14"/>
    </row>
    <row r="8041" ht="22.5" customHeight="1">
      <c r="F8041" s="14"/>
    </row>
    <row r="8042" ht="22.5" customHeight="1">
      <c r="F8042" s="14"/>
    </row>
    <row r="8043" ht="22.5" customHeight="1">
      <c r="F8043" s="14"/>
    </row>
    <row r="8044" ht="22.5" customHeight="1">
      <c r="F8044" s="14"/>
    </row>
    <row r="8045" ht="22.5" customHeight="1">
      <c r="F8045" s="14"/>
    </row>
    <row r="8046" ht="22.5" customHeight="1">
      <c r="F8046" s="14"/>
    </row>
    <row r="8047" ht="22.5" customHeight="1">
      <c r="F8047" s="14"/>
    </row>
    <row r="8048" ht="22.5" customHeight="1">
      <c r="F8048" s="14"/>
    </row>
    <row r="8049" ht="22.5" customHeight="1">
      <c r="F8049" s="14"/>
    </row>
    <row r="8050" ht="22.5" customHeight="1">
      <c r="F8050" s="14"/>
    </row>
    <row r="8051" ht="22.5" customHeight="1">
      <c r="F8051" s="14"/>
    </row>
    <row r="8052" ht="22.5" customHeight="1">
      <c r="F8052" s="14"/>
    </row>
    <row r="8053" ht="22.5" customHeight="1">
      <c r="F8053" s="14"/>
    </row>
    <row r="8054" ht="22.5" customHeight="1">
      <c r="F8054" s="14"/>
    </row>
    <row r="8055" ht="22.5" customHeight="1">
      <c r="F8055" s="14"/>
    </row>
    <row r="8056" ht="22.5" customHeight="1">
      <c r="F8056" s="14"/>
    </row>
    <row r="8057" ht="22.5" customHeight="1">
      <c r="F8057" s="14"/>
    </row>
    <row r="8058" ht="22.5" customHeight="1">
      <c r="F8058" s="14"/>
    </row>
    <row r="8059" ht="22.5" customHeight="1">
      <c r="F8059" s="14"/>
    </row>
    <row r="8060" ht="22.5" customHeight="1">
      <c r="F8060" s="14"/>
    </row>
    <row r="8061" ht="22.5" customHeight="1">
      <c r="F8061" s="14"/>
    </row>
    <row r="8062" ht="22.5" customHeight="1">
      <c r="F8062" s="14"/>
    </row>
    <row r="8063" ht="22.5" customHeight="1">
      <c r="F8063" s="14"/>
    </row>
    <row r="8064" ht="22.5" customHeight="1">
      <c r="F8064" s="14"/>
    </row>
    <row r="8065" ht="22.5" customHeight="1">
      <c r="F8065" s="14"/>
    </row>
    <row r="8066" ht="22.5" customHeight="1">
      <c r="F8066" s="14"/>
    </row>
    <row r="8067" ht="22.5" customHeight="1">
      <c r="F8067" s="14"/>
    </row>
    <row r="8068" ht="22.5" customHeight="1">
      <c r="F8068" s="14"/>
    </row>
    <row r="8069" ht="22.5" customHeight="1">
      <c r="F8069" s="14"/>
    </row>
    <row r="8070" ht="22.5" customHeight="1">
      <c r="F8070" s="14"/>
    </row>
    <row r="8071" ht="22.5" customHeight="1">
      <c r="F8071" s="14"/>
    </row>
    <row r="8072" ht="22.5" customHeight="1">
      <c r="F8072" s="14"/>
    </row>
    <row r="8073" ht="22.5" customHeight="1">
      <c r="F8073" s="14"/>
    </row>
    <row r="8074" ht="22.5" customHeight="1">
      <c r="F8074" s="14"/>
    </row>
    <row r="8075" ht="22.5" customHeight="1">
      <c r="F8075" s="14"/>
    </row>
    <row r="8076" ht="22.5" customHeight="1">
      <c r="F8076" s="14"/>
    </row>
    <row r="8077" ht="22.5" customHeight="1">
      <c r="F8077" s="14"/>
    </row>
    <row r="8078" ht="22.5" customHeight="1">
      <c r="F8078" s="14"/>
    </row>
    <row r="8079" ht="22.5" customHeight="1">
      <c r="F8079" s="14"/>
    </row>
    <row r="8080" ht="22.5" customHeight="1">
      <c r="F8080" s="14"/>
    </row>
    <row r="8081" ht="22.5" customHeight="1">
      <c r="F8081" s="14"/>
    </row>
    <row r="8082" ht="22.5" customHeight="1">
      <c r="F8082" s="14"/>
    </row>
    <row r="8083" ht="22.5" customHeight="1">
      <c r="F8083" s="14"/>
    </row>
    <row r="8084" ht="22.5" customHeight="1">
      <c r="F8084" s="14"/>
    </row>
    <row r="8085" ht="22.5" customHeight="1">
      <c r="F8085" s="14"/>
    </row>
    <row r="8086" ht="22.5" customHeight="1">
      <c r="F8086" s="14"/>
    </row>
    <row r="8087" ht="22.5" customHeight="1">
      <c r="F8087" s="14"/>
    </row>
    <row r="8088" ht="22.5" customHeight="1">
      <c r="F8088" s="14"/>
    </row>
    <row r="8089" ht="22.5" customHeight="1">
      <c r="F8089" s="14"/>
    </row>
    <row r="8090" ht="22.5" customHeight="1">
      <c r="F8090" s="14"/>
    </row>
    <row r="8091" ht="22.5" customHeight="1">
      <c r="F8091" s="14"/>
    </row>
    <row r="8092" ht="22.5" customHeight="1">
      <c r="F8092" s="14"/>
    </row>
    <row r="8093" ht="22.5" customHeight="1">
      <c r="F8093" s="14"/>
    </row>
    <row r="8094" ht="22.5" customHeight="1">
      <c r="F8094" s="14"/>
    </row>
    <row r="8095" ht="22.5" customHeight="1">
      <c r="F8095" s="14"/>
    </row>
    <row r="8096" ht="22.5" customHeight="1">
      <c r="F8096" s="14"/>
    </row>
    <row r="8097" ht="22.5" customHeight="1">
      <c r="F8097" s="14"/>
    </row>
    <row r="8098" ht="22.5" customHeight="1">
      <c r="F8098" s="14"/>
    </row>
    <row r="8099" ht="22.5" customHeight="1">
      <c r="F8099" s="14"/>
    </row>
    <row r="8100" ht="22.5" customHeight="1">
      <c r="F8100" s="14"/>
    </row>
    <row r="8101" ht="22.5" customHeight="1">
      <c r="F8101" s="14"/>
    </row>
    <row r="8102" ht="22.5" customHeight="1">
      <c r="F8102" s="14"/>
    </row>
    <row r="8103" ht="22.5" customHeight="1">
      <c r="F8103" s="14"/>
    </row>
    <row r="8104" ht="22.5" customHeight="1">
      <c r="F8104" s="14"/>
    </row>
    <row r="8105" ht="22.5" customHeight="1">
      <c r="F8105" s="14"/>
    </row>
    <row r="8106" ht="22.5" customHeight="1">
      <c r="F8106" s="14"/>
    </row>
    <row r="8107" ht="22.5" customHeight="1">
      <c r="F8107" s="14"/>
    </row>
    <row r="8108" ht="22.5" customHeight="1">
      <c r="F8108" s="14"/>
    </row>
    <row r="8109" ht="22.5" customHeight="1">
      <c r="F8109" s="14"/>
    </row>
    <row r="8110" ht="22.5" customHeight="1">
      <c r="F8110" s="14"/>
    </row>
    <row r="8111" ht="22.5" customHeight="1">
      <c r="F8111" s="14"/>
    </row>
    <row r="8112" ht="22.5" customHeight="1">
      <c r="F8112" s="14"/>
    </row>
    <row r="8113" ht="22.5" customHeight="1">
      <c r="F8113" s="14"/>
    </row>
    <row r="8114" ht="22.5" customHeight="1">
      <c r="F8114" s="14"/>
    </row>
    <row r="8115" ht="22.5" customHeight="1">
      <c r="F8115" s="14"/>
    </row>
    <row r="8116" ht="22.5" customHeight="1">
      <c r="F8116" s="14"/>
    </row>
    <row r="8117" ht="22.5" customHeight="1">
      <c r="F8117" s="14"/>
    </row>
    <row r="8118" ht="22.5" customHeight="1">
      <c r="F8118" s="14"/>
    </row>
    <row r="8119" ht="22.5" customHeight="1">
      <c r="F8119" s="14"/>
    </row>
    <row r="8120" ht="22.5" customHeight="1">
      <c r="F8120" s="14"/>
    </row>
    <row r="8121" ht="22.5" customHeight="1">
      <c r="F8121" s="14"/>
    </row>
    <row r="8122" ht="22.5" customHeight="1">
      <c r="F8122" s="14"/>
    </row>
    <row r="8123" ht="22.5" customHeight="1">
      <c r="F8123" s="14"/>
    </row>
    <row r="8124" ht="22.5" customHeight="1">
      <c r="F8124" s="14"/>
    </row>
    <row r="8125" ht="22.5" customHeight="1">
      <c r="F8125" s="14"/>
    </row>
    <row r="8126" ht="22.5" customHeight="1">
      <c r="F8126" s="14"/>
    </row>
    <row r="8127" ht="22.5" customHeight="1">
      <c r="F8127" s="14"/>
    </row>
    <row r="8128" ht="22.5" customHeight="1">
      <c r="F8128" s="14"/>
    </row>
    <row r="8129" ht="22.5" customHeight="1">
      <c r="F8129" s="14"/>
    </row>
    <row r="8130" ht="22.5" customHeight="1">
      <c r="F8130" s="14"/>
    </row>
    <row r="8131" ht="22.5" customHeight="1">
      <c r="F8131" s="14"/>
    </row>
    <row r="8132" ht="22.5" customHeight="1">
      <c r="F8132" s="14"/>
    </row>
    <row r="8133" ht="22.5" customHeight="1">
      <c r="F8133" s="14"/>
    </row>
    <row r="8134" ht="22.5" customHeight="1">
      <c r="F8134" s="14"/>
    </row>
    <row r="8135" ht="22.5" customHeight="1">
      <c r="F8135" s="14"/>
    </row>
    <row r="8136" ht="22.5" customHeight="1">
      <c r="F8136" s="14"/>
    </row>
    <row r="8137" ht="22.5" customHeight="1">
      <c r="F8137" s="14"/>
    </row>
    <row r="8138" ht="22.5" customHeight="1">
      <c r="F8138" s="14"/>
    </row>
    <row r="8139" ht="22.5" customHeight="1">
      <c r="F8139" s="14"/>
    </row>
    <row r="8140" ht="22.5" customHeight="1">
      <c r="F8140" s="14"/>
    </row>
    <row r="8141" ht="22.5" customHeight="1">
      <c r="F8141" s="14"/>
    </row>
    <row r="8142" ht="22.5" customHeight="1">
      <c r="F8142" s="14"/>
    </row>
    <row r="8143" ht="22.5" customHeight="1">
      <c r="F8143" s="14"/>
    </row>
    <row r="8144" ht="22.5" customHeight="1">
      <c r="F8144" s="14"/>
    </row>
    <row r="8145" ht="22.5" customHeight="1">
      <c r="F8145" s="14"/>
    </row>
    <row r="8146" ht="22.5" customHeight="1">
      <c r="F8146" s="14"/>
    </row>
    <row r="8147" ht="22.5" customHeight="1">
      <c r="F8147" s="14"/>
    </row>
    <row r="8148" ht="22.5" customHeight="1">
      <c r="F8148" s="14"/>
    </row>
    <row r="8149" ht="22.5" customHeight="1">
      <c r="F8149" s="14"/>
    </row>
    <row r="8150" ht="22.5" customHeight="1">
      <c r="F8150" s="14"/>
    </row>
    <row r="8151" ht="22.5" customHeight="1">
      <c r="F8151" s="14"/>
    </row>
    <row r="8152" ht="22.5" customHeight="1">
      <c r="F8152" s="14"/>
    </row>
    <row r="8153" ht="22.5" customHeight="1">
      <c r="F8153" s="14"/>
    </row>
    <row r="8154" ht="22.5" customHeight="1">
      <c r="F8154" s="14"/>
    </row>
    <row r="8155" ht="22.5" customHeight="1">
      <c r="F8155" s="14"/>
    </row>
    <row r="8156" ht="22.5" customHeight="1">
      <c r="F8156" s="14"/>
    </row>
    <row r="8157" ht="22.5" customHeight="1">
      <c r="F8157" s="14"/>
    </row>
    <row r="8158" ht="22.5" customHeight="1">
      <c r="F8158" s="14"/>
    </row>
    <row r="8159" ht="22.5" customHeight="1">
      <c r="F8159" s="14"/>
    </row>
    <row r="8160" ht="22.5" customHeight="1">
      <c r="F8160" s="14"/>
    </row>
    <row r="8161" ht="22.5" customHeight="1">
      <c r="F8161" s="14"/>
    </row>
    <row r="8162" ht="22.5" customHeight="1">
      <c r="F8162" s="14"/>
    </row>
    <row r="8163" ht="22.5" customHeight="1">
      <c r="F8163" s="14"/>
    </row>
    <row r="8164" ht="22.5" customHeight="1">
      <c r="F8164" s="14"/>
    </row>
    <row r="8165" ht="22.5" customHeight="1">
      <c r="F8165" s="14"/>
    </row>
    <row r="8166" ht="22.5" customHeight="1">
      <c r="F8166" s="14"/>
    </row>
    <row r="8167" ht="22.5" customHeight="1">
      <c r="F8167" s="14"/>
    </row>
    <row r="8168" ht="22.5" customHeight="1">
      <c r="F8168" s="14"/>
    </row>
    <row r="8169" ht="22.5" customHeight="1">
      <c r="F8169" s="14"/>
    </row>
    <row r="8170" ht="22.5" customHeight="1">
      <c r="F8170" s="14"/>
    </row>
    <row r="8171" ht="22.5" customHeight="1">
      <c r="F8171" s="14"/>
    </row>
    <row r="8172" ht="22.5" customHeight="1">
      <c r="F8172" s="14"/>
    </row>
    <row r="8173" ht="22.5" customHeight="1">
      <c r="F8173" s="14"/>
    </row>
    <row r="8174" ht="22.5" customHeight="1">
      <c r="F8174" s="14"/>
    </row>
    <row r="8175" ht="22.5" customHeight="1">
      <c r="F8175" s="14"/>
    </row>
    <row r="8176" ht="22.5" customHeight="1">
      <c r="F8176" s="14"/>
    </row>
    <row r="8177" ht="22.5" customHeight="1">
      <c r="F8177" s="14"/>
    </row>
    <row r="8178" ht="22.5" customHeight="1">
      <c r="F8178" s="14"/>
    </row>
    <row r="8179" ht="22.5" customHeight="1">
      <c r="F8179" s="14"/>
    </row>
    <row r="8180" ht="22.5" customHeight="1">
      <c r="F8180" s="14"/>
    </row>
    <row r="8181" ht="22.5" customHeight="1">
      <c r="F8181" s="14"/>
    </row>
    <row r="8182" ht="22.5" customHeight="1">
      <c r="F8182" s="14"/>
    </row>
    <row r="8183" ht="22.5" customHeight="1">
      <c r="F8183" s="14"/>
    </row>
    <row r="8184" ht="22.5" customHeight="1">
      <c r="F8184" s="14"/>
    </row>
    <row r="8185" ht="22.5" customHeight="1">
      <c r="F8185" s="14"/>
    </row>
    <row r="8186" ht="22.5" customHeight="1">
      <c r="F8186" s="14"/>
    </row>
    <row r="8187" ht="22.5" customHeight="1">
      <c r="F8187" s="14"/>
    </row>
    <row r="8188" ht="22.5" customHeight="1">
      <c r="F8188" s="14"/>
    </row>
    <row r="8189" ht="22.5" customHeight="1">
      <c r="F8189" s="14"/>
    </row>
    <row r="8190" ht="22.5" customHeight="1">
      <c r="F8190" s="14"/>
    </row>
    <row r="8191" ht="22.5" customHeight="1">
      <c r="F8191" s="14"/>
    </row>
    <row r="8192" ht="22.5" customHeight="1">
      <c r="F8192" s="14"/>
    </row>
    <row r="8193" ht="22.5" customHeight="1">
      <c r="F8193" s="14"/>
    </row>
    <row r="8194" ht="22.5" customHeight="1">
      <c r="F8194" s="14"/>
    </row>
    <row r="8195" ht="22.5" customHeight="1">
      <c r="F8195" s="14"/>
    </row>
    <row r="8196" ht="22.5" customHeight="1">
      <c r="F8196" s="14"/>
    </row>
    <row r="8197" ht="22.5" customHeight="1">
      <c r="F8197" s="14"/>
    </row>
    <row r="8198" ht="22.5" customHeight="1">
      <c r="F8198" s="14"/>
    </row>
    <row r="8199" ht="22.5" customHeight="1">
      <c r="F8199" s="14"/>
    </row>
    <row r="8200" ht="22.5" customHeight="1">
      <c r="F8200" s="14"/>
    </row>
    <row r="8201" ht="22.5" customHeight="1">
      <c r="F8201" s="14"/>
    </row>
    <row r="8202" ht="22.5" customHeight="1">
      <c r="F8202" s="14"/>
    </row>
    <row r="8203" ht="22.5" customHeight="1">
      <c r="F8203" s="14"/>
    </row>
    <row r="8204" ht="22.5" customHeight="1">
      <c r="F8204" s="14"/>
    </row>
    <row r="8205" ht="22.5" customHeight="1">
      <c r="F8205" s="14"/>
    </row>
    <row r="8206" ht="22.5" customHeight="1">
      <c r="F8206" s="14"/>
    </row>
    <row r="8207" ht="22.5" customHeight="1">
      <c r="F8207" s="14"/>
    </row>
    <row r="8208" ht="22.5" customHeight="1">
      <c r="F8208" s="14"/>
    </row>
    <row r="8209" ht="22.5" customHeight="1">
      <c r="F8209" s="14"/>
    </row>
    <row r="8210" ht="22.5" customHeight="1">
      <c r="F8210" s="14"/>
    </row>
    <row r="8211" ht="22.5" customHeight="1">
      <c r="F8211" s="14"/>
    </row>
    <row r="8212" ht="22.5" customHeight="1">
      <c r="F8212" s="14"/>
    </row>
    <row r="8213" ht="22.5" customHeight="1">
      <c r="F8213" s="14"/>
    </row>
    <row r="8214" ht="22.5" customHeight="1">
      <c r="F8214" s="14"/>
    </row>
    <row r="8215" ht="22.5" customHeight="1">
      <c r="F8215" s="14"/>
    </row>
    <row r="8216" ht="22.5" customHeight="1">
      <c r="F8216" s="14"/>
    </row>
    <row r="8217" ht="22.5" customHeight="1">
      <c r="F8217" s="14"/>
    </row>
    <row r="8218" ht="22.5" customHeight="1">
      <c r="F8218" s="14"/>
    </row>
    <row r="8219" ht="22.5" customHeight="1">
      <c r="F8219" s="14"/>
    </row>
    <row r="8220" ht="22.5" customHeight="1">
      <c r="F8220" s="14"/>
    </row>
    <row r="8221" ht="22.5" customHeight="1">
      <c r="F8221" s="14"/>
    </row>
    <row r="8222" ht="22.5" customHeight="1">
      <c r="F8222" s="14"/>
    </row>
    <row r="8223" ht="22.5" customHeight="1">
      <c r="F8223" s="14"/>
    </row>
    <row r="8224" ht="22.5" customHeight="1">
      <c r="F8224" s="14"/>
    </row>
    <row r="8225" ht="22.5" customHeight="1">
      <c r="F8225" s="14"/>
    </row>
    <row r="8226" ht="22.5" customHeight="1">
      <c r="F8226" s="14"/>
    </row>
    <row r="8227" ht="22.5" customHeight="1">
      <c r="F8227" s="14"/>
    </row>
    <row r="8228" ht="22.5" customHeight="1">
      <c r="F8228" s="14"/>
    </row>
    <row r="8229" ht="22.5" customHeight="1">
      <c r="F8229" s="14"/>
    </row>
    <row r="8230" ht="22.5" customHeight="1">
      <c r="F8230" s="14"/>
    </row>
    <row r="8231" ht="22.5" customHeight="1">
      <c r="F8231" s="14"/>
    </row>
    <row r="8232" ht="22.5" customHeight="1">
      <c r="F8232" s="14"/>
    </row>
    <row r="8233" ht="22.5" customHeight="1">
      <c r="F8233" s="14"/>
    </row>
    <row r="8234" ht="22.5" customHeight="1">
      <c r="F8234" s="14"/>
    </row>
    <row r="8235" ht="22.5" customHeight="1">
      <c r="F8235" s="14"/>
    </row>
    <row r="8236" ht="22.5" customHeight="1">
      <c r="F8236" s="14"/>
    </row>
    <row r="8237" ht="22.5" customHeight="1">
      <c r="F8237" s="14"/>
    </row>
    <row r="8238" ht="22.5" customHeight="1">
      <c r="F8238" s="14"/>
    </row>
    <row r="8239" ht="22.5" customHeight="1">
      <c r="F8239" s="14"/>
    </row>
    <row r="8240" ht="22.5" customHeight="1">
      <c r="F8240" s="14"/>
    </row>
    <row r="8241" ht="22.5" customHeight="1">
      <c r="F8241" s="14"/>
    </row>
    <row r="8242" ht="22.5" customHeight="1">
      <c r="F8242" s="14"/>
    </row>
    <row r="8243" ht="22.5" customHeight="1">
      <c r="F8243" s="14"/>
    </row>
    <row r="8244" ht="22.5" customHeight="1">
      <c r="F8244" s="14"/>
    </row>
    <row r="8245" ht="22.5" customHeight="1">
      <c r="F8245" s="14"/>
    </row>
    <row r="8246" ht="22.5" customHeight="1">
      <c r="F8246" s="14"/>
    </row>
    <row r="8247" ht="22.5" customHeight="1">
      <c r="F8247" s="14"/>
    </row>
    <row r="8248" ht="22.5" customHeight="1">
      <c r="F8248" s="14"/>
    </row>
    <row r="8249" ht="22.5" customHeight="1">
      <c r="F8249" s="14"/>
    </row>
    <row r="8250" ht="22.5" customHeight="1">
      <c r="F8250" s="14"/>
    </row>
    <row r="8251" ht="22.5" customHeight="1">
      <c r="F8251" s="14"/>
    </row>
    <row r="8252" ht="22.5" customHeight="1">
      <c r="F8252" s="14"/>
    </row>
    <row r="8253" ht="22.5" customHeight="1">
      <c r="F8253" s="14"/>
    </row>
    <row r="8254" ht="22.5" customHeight="1">
      <c r="F8254" s="14"/>
    </row>
    <row r="8255" ht="22.5" customHeight="1">
      <c r="F8255" s="14"/>
    </row>
    <row r="8256" ht="22.5" customHeight="1">
      <c r="F8256" s="14"/>
    </row>
    <row r="8257" ht="22.5" customHeight="1">
      <c r="F8257" s="14"/>
    </row>
    <row r="8258" ht="22.5" customHeight="1">
      <c r="F8258" s="14"/>
    </row>
    <row r="8259" ht="22.5" customHeight="1">
      <c r="F8259" s="14"/>
    </row>
    <row r="8260" ht="22.5" customHeight="1">
      <c r="F8260" s="14"/>
    </row>
    <row r="8261" ht="22.5" customHeight="1">
      <c r="F8261" s="14"/>
    </row>
    <row r="8262" ht="22.5" customHeight="1">
      <c r="F8262" s="14"/>
    </row>
    <row r="8263" ht="22.5" customHeight="1">
      <c r="F8263" s="14"/>
    </row>
    <row r="8264" ht="22.5" customHeight="1">
      <c r="F8264" s="14"/>
    </row>
    <row r="8265" ht="22.5" customHeight="1">
      <c r="F8265" s="14"/>
    </row>
    <row r="8266" ht="22.5" customHeight="1">
      <c r="F8266" s="14"/>
    </row>
    <row r="8267" ht="22.5" customHeight="1">
      <c r="F8267" s="14"/>
    </row>
    <row r="8268" ht="22.5" customHeight="1">
      <c r="F8268" s="14"/>
    </row>
    <row r="8269" ht="22.5" customHeight="1">
      <c r="F8269" s="14"/>
    </row>
    <row r="8270" ht="22.5" customHeight="1">
      <c r="F8270" s="14"/>
    </row>
    <row r="8271" ht="22.5" customHeight="1">
      <c r="F8271" s="14"/>
    </row>
    <row r="8272" ht="22.5" customHeight="1">
      <c r="F8272" s="14"/>
    </row>
    <row r="8273" ht="22.5" customHeight="1">
      <c r="F8273" s="14"/>
    </row>
    <row r="8274" ht="22.5" customHeight="1">
      <c r="F8274" s="14"/>
    </row>
    <row r="8275" ht="22.5" customHeight="1">
      <c r="F8275" s="14"/>
    </row>
    <row r="8276" ht="22.5" customHeight="1">
      <c r="F8276" s="14"/>
    </row>
    <row r="8277" ht="22.5" customHeight="1">
      <c r="F8277" s="14"/>
    </row>
    <row r="8278" ht="22.5" customHeight="1">
      <c r="F8278" s="14"/>
    </row>
    <row r="8279" ht="22.5" customHeight="1">
      <c r="F8279" s="14"/>
    </row>
    <row r="8280" ht="22.5" customHeight="1">
      <c r="F8280" s="14"/>
    </row>
    <row r="8281" ht="22.5" customHeight="1">
      <c r="F8281" s="14"/>
    </row>
    <row r="8282" ht="22.5" customHeight="1">
      <c r="F8282" s="14"/>
    </row>
    <row r="8283" ht="22.5" customHeight="1">
      <c r="F8283" s="14"/>
    </row>
    <row r="8284" ht="22.5" customHeight="1">
      <c r="F8284" s="14"/>
    </row>
    <row r="8285" ht="22.5" customHeight="1">
      <c r="F8285" s="14"/>
    </row>
    <row r="8286" ht="22.5" customHeight="1">
      <c r="F8286" s="14"/>
    </row>
    <row r="8287" ht="22.5" customHeight="1">
      <c r="F8287" s="14"/>
    </row>
    <row r="8288" ht="22.5" customHeight="1">
      <c r="F8288" s="14"/>
    </row>
    <row r="8289" ht="22.5" customHeight="1">
      <c r="F8289" s="14"/>
    </row>
    <row r="8290" ht="22.5" customHeight="1">
      <c r="F8290" s="14"/>
    </row>
    <row r="8291" ht="22.5" customHeight="1">
      <c r="F8291" s="14"/>
    </row>
    <row r="8292" ht="22.5" customHeight="1">
      <c r="F8292" s="14"/>
    </row>
    <row r="8293" ht="22.5" customHeight="1">
      <c r="F8293" s="14"/>
    </row>
    <row r="8294" ht="22.5" customHeight="1">
      <c r="F8294" s="14"/>
    </row>
    <row r="8295" ht="22.5" customHeight="1">
      <c r="F8295" s="14"/>
    </row>
    <row r="8296" ht="22.5" customHeight="1">
      <c r="F8296" s="14"/>
    </row>
    <row r="8297" ht="22.5" customHeight="1">
      <c r="F8297" s="14"/>
    </row>
    <row r="8298" ht="22.5" customHeight="1">
      <c r="F8298" s="14"/>
    </row>
    <row r="8299" ht="22.5" customHeight="1">
      <c r="F8299" s="14"/>
    </row>
    <row r="8300" ht="22.5" customHeight="1">
      <c r="F8300" s="14"/>
    </row>
    <row r="8301" ht="22.5" customHeight="1">
      <c r="F8301" s="14"/>
    </row>
    <row r="8302" ht="22.5" customHeight="1">
      <c r="F8302" s="14"/>
    </row>
    <row r="8303" ht="22.5" customHeight="1">
      <c r="F8303" s="14"/>
    </row>
    <row r="8304" ht="22.5" customHeight="1">
      <c r="F8304" s="14"/>
    </row>
    <row r="8305" ht="22.5" customHeight="1">
      <c r="F8305" s="14"/>
    </row>
    <row r="8306" ht="22.5" customHeight="1">
      <c r="F8306" s="14"/>
    </row>
    <row r="8307" ht="22.5" customHeight="1">
      <c r="F8307" s="14"/>
    </row>
    <row r="8308" ht="22.5" customHeight="1">
      <c r="F8308" s="14"/>
    </row>
    <row r="8309" ht="22.5" customHeight="1">
      <c r="F8309" s="14"/>
    </row>
    <row r="8310" ht="22.5" customHeight="1">
      <c r="F8310" s="14"/>
    </row>
    <row r="8311" ht="22.5" customHeight="1">
      <c r="F8311" s="14"/>
    </row>
    <row r="8312" ht="22.5" customHeight="1">
      <c r="F8312" s="14"/>
    </row>
    <row r="8313" ht="22.5" customHeight="1">
      <c r="F8313" s="14"/>
    </row>
    <row r="8314" ht="22.5" customHeight="1">
      <c r="F8314" s="14"/>
    </row>
    <row r="8315" ht="22.5" customHeight="1">
      <c r="F8315" s="14"/>
    </row>
    <row r="8316" ht="22.5" customHeight="1">
      <c r="F8316" s="14"/>
    </row>
    <row r="8317" ht="22.5" customHeight="1">
      <c r="F8317" s="14"/>
    </row>
    <row r="8318" ht="22.5" customHeight="1">
      <c r="F8318" s="14"/>
    </row>
    <row r="8319" ht="22.5" customHeight="1">
      <c r="F8319" s="14"/>
    </row>
    <row r="8320" ht="22.5" customHeight="1">
      <c r="F8320" s="14"/>
    </row>
    <row r="8321" ht="22.5" customHeight="1">
      <c r="F8321" s="14"/>
    </row>
    <row r="8322" ht="22.5" customHeight="1">
      <c r="F8322" s="14"/>
    </row>
    <row r="8323" ht="22.5" customHeight="1">
      <c r="F8323" s="14"/>
    </row>
    <row r="8324" ht="22.5" customHeight="1">
      <c r="F8324" s="14"/>
    </row>
    <row r="8325" ht="22.5" customHeight="1">
      <c r="F8325" s="14"/>
    </row>
    <row r="8326" ht="22.5" customHeight="1">
      <c r="F8326" s="14"/>
    </row>
    <row r="8327" ht="22.5" customHeight="1">
      <c r="F8327" s="14"/>
    </row>
    <row r="8328" ht="22.5" customHeight="1">
      <c r="F8328" s="14"/>
    </row>
    <row r="8329" ht="22.5" customHeight="1">
      <c r="F8329" s="14"/>
    </row>
    <row r="8330" ht="22.5" customHeight="1">
      <c r="F8330" s="14"/>
    </row>
    <row r="8331" ht="22.5" customHeight="1">
      <c r="F8331" s="14"/>
    </row>
    <row r="8332" ht="22.5" customHeight="1">
      <c r="F8332" s="14"/>
    </row>
    <row r="8333" ht="22.5" customHeight="1">
      <c r="F8333" s="14"/>
    </row>
    <row r="8334" ht="22.5" customHeight="1">
      <c r="F8334" s="14"/>
    </row>
    <row r="8335" ht="22.5" customHeight="1">
      <c r="F8335" s="14"/>
    </row>
    <row r="8336" ht="22.5" customHeight="1">
      <c r="F8336" s="14"/>
    </row>
    <row r="8337" ht="22.5" customHeight="1">
      <c r="F8337" s="14"/>
    </row>
    <row r="8338" ht="22.5" customHeight="1">
      <c r="F8338" s="14"/>
    </row>
    <row r="8339" ht="22.5" customHeight="1">
      <c r="F8339" s="14"/>
    </row>
    <row r="8340" ht="22.5" customHeight="1">
      <c r="F8340" s="14"/>
    </row>
    <row r="8341" ht="22.5" customHeight="1">
      <c r="F8341" s="14"/>
    </row>
    <row r="8342" ht="22.5" customHeight="1">
      <c r="F8342" s="14"/>
    </row>
    <row r="8343" ht="22.5" customHeight="1">
      <c r="F8343" s="14"/>
    </row>
    <row r="8344" ht="22.5" customHeight="1">
      <c r="F8344" s="14"/>
    </row>
    <row r="8345" ht="22.5" customHeight="1">
      <c r="F8345" s="14"/>
    </row>
    <row r="8346" ht="22.5" customHeight="1">
      <c r="F8346" s="14"/>
    </row>
    <row r="8347" ht="22.5" customHeight="1">
      <c r="F8347" s="14"/>
    </row>
    <row r="8348" ht="22.5" customHeight="1">
      <c r="F8348" s="14"/>
    </row>
    <row r="8349" ht="22.5" customHeight="1">
      <c r="F8349" s="14"/>
    </row>
    <row r="8350" ht="22.5" customHeight="1">
      <c r="F8350" s="14"/>
    </row>
    <row r="8351" ht="22.5" customHeight="1">
      <c r="F8351" s="14"/>
    </row>
    <row r="8352" ht="22.5" customHeight="1">
      <c r="F8352" s="14"/>
    </row>
    <row r="8353" ht="22.5" customHeight="1">
      <c r="F8353" s="14"/>
    </row>
    <row r="8354" ht="22.5" customHeight="1">
      <c r="F8354" s="14"/>
    </row>
    <row r="8355" ht="22.5" customHeight="1">
      <c r="F8355" s="14"/>
    </row>
    <row r="8356" ht="22.5" customHeight="1">
      <c r="F8356" s="14"/>
    </row>
    <row r="8357" ht="22.5" customHeight="1">
      <c r="F8357" s="14"/>
    </row>
    <row r="8358" ht="22.5" customHeight="1">
      <c r="F8358" s="14"/>
    </row>
    <row r="8359" ht="22.5" customHeight="1">
      <c r="F8359" s="14"/>
    </row>
    <row r="8360" ht="22.5" customHeight="1">
      <c r="F8360" s="14"/>
    </row>
    <row r="8361" ht="22.5" customHeight="1">
      <c r="F8361" s="14"/>
    </row>
    <row r="8362" ht="22.5" customHeight="1">
      <c r="F8362" s="14"/>
    </row>
    <row r="8363" ht="22.5" customHeight="1">
      <c r="F8363" s="14"/>
    </row>
    <row r="8364" ht="22.5" customHeight="1">
      <c r="F8364" s="14"/>
    </row>
    <row r="8365" ht="22.5" customHeight="1">
      <c r="F8365" s="14"/>
    </row>
    <row r="8366" ht="22.5" customHeight="1">
      <c r="F8366" s="14"/>
    </row>
    <row r="8367" ht="22.5" customHeight="1">
      <c r="F8367" s="14"/>
    </row>
    <row r="8368" ht="22.5" customHeight="1">
      <c r="F8368" s="14"/>
    </row>
    <row r="8369" ht="22.5" customHeight="1">
      <c r="F8369" s="14"/>
    </row>
    <row r="8370" ht="22.5" customHeight="1">
      <c r="F8370" s="14"/>
    </row>
    <row r="8371" ht="22.5" customHeight="1">
      <c r="F8371" s="14"/>
    </row>
    <row r="8372" ht="22.5" customHeight="1">
      <c r="F8372" s="14"/>
    </row>
    <row r="8373" ht="22.5" customHeight="1">
      <c r="F8373" s="14"/>
    </row>
    <row r="8374" ht="22.5" customHeight="1">
      <c r="F8374" s="14"/>
    </row>
    <row r="8375" ht="22.5" customHeight="1">
      <c r="F8375" s="14"/>
    </row>
    <row r="8376" ht="22.5" customHeight="1">
      <c r="F8376" s="14"/>
    </row>
    <row r="8377" ht="22.5" customHeight="1">
      <c r="F8377" s="14"/>
    </row>
    <row r="8378" ht="22.5" customHeight="1">
      <c r="F8378" s="14"/>
    </row>
    <row r="8379" ht="22.5" customHeight="1">
      <c r="F8379" s="14"/>
    </row>
    <row r="8380" ht="22.5" customHeight="1">
      <c r="F8380" s="14"/>
    </row>
    <row r="8381" ht="22.5" customHeight="1">
      <c r="F8381" s="14"/>
    </row>
    <row r="8382" ht="22.5" customHeight="1">
      <c r="F8382" s="14"/>
    </row>
    <row r="8383" ht="22.5" customHeight="1">
      <c r="F8383" s="14"/>
    </row>
    <row r="8384" ht="22.5" customHeight="1">
      <c r="F8384" s="14"/>
    </row>
    <row r="8385" ht="22.5" customHeight="1">
      <c r="F8385" s="14"/>
    </row>
    <row r="8386" ht="22.5" customHeight="1">
      <c r="F8386" s="14"/>
    </row>
    <row r="8387" ht="22.5" customHeight="1">
      <c r="F8387" s="14"/>
    </row>
    <row r="8388" ht="22.5" customHeight="1">
      <c r="F8388" s="14"/>
    </row>
    <row r="8389" ht="22.5" customHeight="1">
      <c r="F8389" s="14"/>
    </row>
    <row r="8390" ht="22.5" customHeight="1">
      <c r="F8390" s="14"/>
    </row>
    <row r="8391" ht="22.5" customHeight="1">
      <c r="F8391" s="14"/>
    </row>
    <row r="8392" ht="22.5" customHeight="1">
      <c r="F8392" s="14"/>
    </row>
    <row r="8393" ht="22.5" customHeight="1">
      <c r="F8393" s="14"/>
    </row>
    <row r="8394" ht="22.5" customHeight="1">
      <c r="F8394" s="14"/>
    </row>
    <row r="8395" ht="22.5" customHeight="1">
      <c r="F8395" s="14"/>
    </row>
    <row r="8396" ht="22.5" customHeight="1">
      <c r="F8396" s="14"/>
    </row>
    <row r="8397" ht="22.5" customHeight="1">
      <c r="F8397" s="14"/>
    </row>
    <row r="8398" ht="22.5" customHeight="1">
      <c r="F8398" s="14"/>
    </row>
    <row r="8399" ht="22.5" customHeight="1">
      <c r="F8399" s="14"/>
    </row>
    <row r="8400" ht="22.5" customHeight="1">
      <c r="F8400" s="14"/>
    </row>
    <row r="8401" ht="22.5" customHeight="1">
      <c r="F8401" s="14"/>
    </row>
    <row r="8402" ht="22.5" customHeight="1">
      <c r="F8402" s="14"/>
    </row>
    <row r="8403" ht="22.5" customHeight="1">
      <c r="F8403" s="14"/>
    </row>
    <row r="8404" ht="22.5" customHeight="1">
      <c r="F8404" s="14"/>
    </row>
    <row r="8405" ht="22.5" customHeight="1">
      <c r="F8405" s="14"/>
    </row>
    <row r="8406" ht="22.5" customHeight="1">
      <c r="F8406" s="14"/>
    </row>
    <row r="8407" ht="22.5" customHeight="1">
      <c r="F8407" s="14"/>
    </row>
    <row r="8408" ht="22.5" customHeight="1">
      <c r="F8408" s="14"/>
    </row>
    <row r="8409" ht="22.5" customHeight="1">
      <c r="F8409" s="14"/>
    </row>
    <row r="8410" ht="22.5" customHeight="1">
      <c r="F8410" s="14"/>
    </row>
    <row r="8411" ht="22.5" customHeight="1">
      <c r="F8411" s="14"/>
    </row>
    <row r="8412" ht="22.5" customHeight="1">
      <c r="F8412" s="14"/>
    </row>
    <row r="8413" ht="22.5" customHeight="1">
      <c r="F8413" s="14"/>
    </row>
    <row r="8414" ht="22.5" customHeight="1">
      <c r="F8414" s="14"/>
    </row>
    <row r="8415" ht="22.5" customHeight="1">
      <c r="F8415" s="14"/>
    </row>
    <row r="8416" ht="22.5" customHeight="1">
      <c r="F8416" s="14"/>
    </row>
    <row r="8417" ht="22.5" customHeight="1">
      <c r="F8417" s="14"/>
    </row>
    <row r="8418" ht="22.5" customHeight="1">
      <c r="F8418" s="14"/>
    </row>
    <row r="8419" ht="22.5" customHeight="1">
      <c r="F8419" s="14"/>
    </row>
    <row r="8420" ht="22.5" customHeight="1">
      <c r="F8420" s="14"/>
    </row>
    <row r="8421" ht="22.5" customHeight="1">
      <c r="F8421" s="14"/>
    </row>
    <row r="8422" ht="22.5" customHeight="1">
      <c r="F8422" s="14"/>
    </row>
    <row r="8423" ht="22.5" customHeight="1">
      <c r="F8423" s="14"/>
    </row>
    <row r="8424" ht="22.5" customHeight="1">
      <c r="F8424" s="14"/>
    </row>
    <row r="8425" ht="22.5" customHeight="1">
      <c r="F8425" s="14"/>
    </row>
    <row r="8426" ht="22.5" customHeight="1">
      <c r="F8426" s="14"/>
    </row>
    <row r="8427" ht="22.5" customHeight="1">
      <c r="F8427" s="14"/>
    </row>
    <row r="8428" ht="22.5" customHeight="1">
      <c r="F8428" s="14"/>
    </row>
    <row r="8429" ht="22.5" customHeight="1">
      <c r="F8429" s="14"/>
    </row>
    <row r="8430" ht="22.5" customHeight="1">
      <c r="F8430" s="14"/>
    </row>
    <row r="8431" ht="22.5" customHeight="1">
      <c r="F8431" s="14"/>
    </row>
    <row r="8432" ht="22.5" customHeight="1">
      <c r="F8432" s="14"/>
    </row>
    <row r="8433" ht="22.5" customHeight="1">
      <c r="F8433" s="14"/>
    </row>
    <row r="8434" ht="22.5" customHeight="1">
      <c r="F8434" s="14"/>
    </row>
    <row r="8435" ht="22.5" customHeight="1">
      <c r="F8435" s="14"/>
    </row>
    <row r="8436" ht="22.5" customHeight="1">
      <c r="F8436" s="14"/>
    </row>
    <row r="8437" ht="22.5" customHeight="1">
      <c r="F8437" s="14"/>
    </row>
    <row r="8438" ht="22.5" customHeight="1">
      <c r="F8438" s="14"/>
    </row>
    <row r="8439" ht="22.5" customHeight="1">
      <c r="F8439" s="14"/>
    </row>
    <row r="8440" ht="22.5" customHeight="1">
      <c r="F8440" s="14"/>
    </row>
    <row r="8441" ht="22.5" customHeight="1">
      <c r="F8441" s="14"/>
    </row>
    <row r="8442" ht="22.5" customHeight="1">
      <c r="F8442" s="14"/>
    </row>
    <row r="8443" ht="22.5" customHeight="1">
      <c r="F8443" s="14"/>
    </row>
    <row r="8444" ht="22.5" customHeight="1">
      <c r="F8444" s="14"/>
    </row>
    <row r="8445" ht="22.5" customHeight="1">
      <c r="F8445" s="14"/>
    </row>
    <row r="8446" ht="22.5" customHeight="1">
      <c r="F8446" s="14"/>
    </row>
    <row r="8447" ht="22.5" customHeight="1">
      <c r="F8447" s="14"/>
    </row>
    <row r="8448" ht="22.5" customHeight="1">
      <c r="F8448" s="14"/>
    </row>
    <row r="8449" ht="22.5" customHeight="1">
      <c r="F8449" s="14"/>
    </row>
    <row r="8450" ht="22.5" customHeight="1">
      <c r="F8450" s="14"/>
    </row>
    <row r="8451" ht="22.5" customHeight="1">
      <c r="F8451" s="14"/>
    </row>
    <row r="8452" ht="22.5" customHeight="1">
      <c r="F8452" s="14"/>
    </row>
    <row r="8453" ht="22.5" customHeight="1">
      <c r="F8453" s="14"/>
    </row>
    <row r="8454" ht="22.5" customHeight="1">
      <c r="F8454" s="14"/>
    </row>
    <row r="8455" ht="22.5" customHeight="1">
      <c r="F8455" s="14"/>
    </row>
    <row r="8456" ht="22.5" customHeight="1">
      <c r="F8456" s="14"/>
    </row>
    <row r="8457" ht="22.5" customHeight="1">
      <c r="F8457" s="14"/>
    </row>
    <row r="8458" ht="22.5" customHeight="1">
      <c r="F8458" s="14"/>
    </row>
    <row r="8459" ht="22.5" customHeight="1">
      <c r="F8459" s="14"/>
    </row>
    <row r="8460" ht="22.5" customHeight="1">
      <c r="F8460" s="14"/>
    </row>
    <row r="8461" ht="22.5" customHeight="1">
      <c r="F8461" s="14"/>
    </row>
    <row r="8462" ht="22.5" customHeight="1">
      <c r="F8462" s="14"/>
    </row>
    <row r="8463" ht="22.5" customHeight="1">
      <c r="F8463" s="14"/>
    </row>
    <row r="8464" ht="22.5" customHeight="1">
      <c r="F8464" s="14"/>
    </row>
    <row r="8465" ht="22.5" customHeight="1">
      <c r="F8465" s="14"/>
    </row>
    <row r="8466" ht="22.5" customHeight="1">
      <c r="F8466" s="14"/>
    </row>
    <row r="8467" ht="22.5" customHeight="1">
      <c r="F8467" s="14"/>
    </row>
    <row r="8468" ht="22.5" customHeight="1">
      <c r="F8468" s="14"/>
    </row>
    <row r="8469" ht="22.5" customHeight="1">
      <c r="F8469" s="14"/>
    </row>
    <row r="8470" ht="22.5" customHeight="1">
      <c r="F8470" s="14"/>
    </row>
    <row r="8471" ht="22.5" customHeight="1">
      <c r="F8471" s="14"/>
    </row>
    <row r="8472" ht="22.5" customHeight="1">
      <c r="F8472" s="14"/>
    </row>
    <row r="8473" ht="22.5" customHeight="1">
      <c r="F8473" s="14"/>
    </row>
    <row r="8474" ht="22.5" customHeight="1">
      <c r="F8474" s="14"/>
    </row>
    <row r="8475" ht="22.5" customHeight="1">
      <c r="F8475" s="14"/>
    </row>
    <row r="8476" ht="22.5" customHeight="1">
      <c r="F8476" s="14"/>
    </row>
    <row r="8477" ht="22.5" customHeight="1">
      <c r="F8477" s="14"/>
    </row>
    <row r="8478" ht="22.5" customHeight="1">
      <c r="F8478" s="14"/>
    </row>
    <row r="8479" ht="22.5" customHeight="1">
      <c r="F8479" s="14"/>
    </row>
    <row r="8480" ht="22.5" customHeight="1">
      <c r="F8480" s="14"/>
    </row>
    <row r="8481" ht="22.5" customHeight="1">
      <c r="F8481" s="14"/>
    </row>
    <row r="8482" ht="22.5" customHeight="1">
      <c r="F8482" s="14"/>
    </row>
    <row r="8483" ht="22.5" customHeight="1">
      <c r="F8483" s="14"/>
    </row>
    <row r="8484" ht="22.5" customHeight="1">
      <c r="F8484" s="14"/>
    </row>
    <row r="8485" ht="22.5" customHeight="1">
      <c r="F8485" s="14"/>
    </row>
    <row r="8486" ht="22.5" customHeight="1">
      <c r="F8486" s="14"/>
    </row>
    <row r="8487" ht="22.5" customHeight="1">
      <c r="F8487" s="14"/>
    </row>
    <row r="8488" ht="22.5" customHeight="1">
      <c r="F8488" s="14"/>
    </row>
    <row r="8489" ht="22.5" customHeight="1">
      <c r="F8489" s="14"/>
    </row>
    <row r="8490" ht="22.5" customHeight="1">
      <c r="F8490" s="14"/>
    </row>
    <row r="8491" ht="22.5" customHeight="1">
      <c r="F8491" s="14"/>
    </row>
    <row r="8492" ht="22.5" customHeight="1">
      <c r="F8492" s="14"/>
    </row>
    <row r="8493" ht="22.5" customHeight="1">
      <c r="F8493" s="14"/>
    </row>
    <row r="8494" ht="22.5" customHeight="1">
      <c r="F8494" s="14"/>
    </row>
    <row r="8495" ht="22.5" customHeight="1">
      <c r="F8495" s="14"/>
    </row>
    <row r="8496" ht="22.5" customHeight="1">
      <c r="F8496" s="14"/>
    </row>
    <row r="8497" ht="22.5" customHeight="1">
      <c r="F8497" s="14"/>
    </row>
    <row r="8498" ht="22.5" customHeight="1">
      <c r="F8498" s="14"/>
    </row>
    <row r="8499" ht="22.5" customHeight="1">
      <c r="F8499" s="14"/>
    </row>
    <row r="8500" ht="22.5" customHeight="1">
      <c r="F8500" s="14"/>
    </row>
    <row r="8501" ht="22.5" customHeight="1">
      <c r="F8501" s="14"/>
    </row>
    <row r="8502" ht="22.5" customHeight="1">
      <c r="F8502" s="14"/>
    </row>
    <row r="8503" ht="22.5" customHeight="1">
      <c r="F8503" s="14"/>
    </row>
    <row r="8504" ht="22.5" customHeight="1">
      <c r="F8504" s="14"/>
    </row>
    <row r="8505" ht="22.5" customHeight="1">
      <c r="F8505" s="14"/>
    </row>
    <row r="8506" ht="22.5" customHeight="1">
      <c r="F8506" s="14"/>
    </row>
    <row r="8507" ht="22.5" customHeight="1">
      <c r="F8507" s="14"/>
    </row>
    <row r="8508" ht="22.5" customHeight="1">
      <c r="F8508" s="14"/>
    </row>
    <row r="8509" ht="22.5" customHeight="1">
      <c r="F8509" s="14"/>
    </row>
    <row r="8510" ht="22.5" customHeight="1">
      <c r="F8510" s="14"/>
    </row>
    <row r="8511" ht="22.5" customHeight="1">
      <c r="F8511" s="14"/>
    </row>
    <row r="8512" ht="22.5" customHeight="1">
      <c r="F8512" s="14"/>
    </row>
    <row r="8513" ht="22.5" customHeight="1">
      <c r="F8513" s="14"/>
    </row>
    <row r="8514" ht="22.5" customHeight="1">
      <c r="F8514" s="14"/>
    </row>
    <row r="8515" ht="22.5" customHeight="1">
      <c r="F8515" s="14"/>
    </row>
    <row r="8516" ht="22.5" customHeight="1">
      <c r="F8516" s="14"/>
    </row>
    <row r="8517" ht="22.5" customHeight="1">
      <c r="F8517" s="14"/>
    </row>
    <row r="8518" ht="22.5" customHeight="1">
      <c r="F8518" s="14"/>
    </row>
    <row r="8519" ht="22.5" customHeight="1">
      <c r="F8519" s="14"/>
    </row>
    <row r="8520" ht="22.5" customHeight="1">
      <c r="F8520" s="14"/>
    </row>
    <row r="8521" ht="22.5" customHeight="1">
      <c r="F8521" s="14"/>
    </row>
    <row r="8522" ht="22.5" customHeight="1">
      <c r="F8522" s="14"/>
    </row>
    <row r="8523" ht="22.5" customHeight="1">
      <c r="F8523" s="14"/>
    </row>
    <row r="8524" ht="22.5" customHeight="1">
      <c r="F8524" s="14"/>
    </row>
    <row r="8525" ht="22.5" customHeight="1">
      <c r="F8525" s="14"/>
    </row>
    <row r="8526" ht="22.5" customHeight="1">
      <c r="F8526" s="14"/>
    </row>
    <row r="8527" ht="22.5" customHeight="1">
      <c r="F8527" s="14"/>
    </row>
    <row r="8528" ht="22.5" customHeight="1">
      <c r="F8528" s="14"/>
    </row>
    <row r="8529" ht="22.5" customHeight="1">
      <c r="F8529" s="14"/>
    </row>
    <row r="8530" ht="22.5" customHeight="1">
      <c r="F8530" s="14"/>
    </row>
    <row r="8531" ht="22.5" customHeight="1">
      <c r="F8531" s="14"/>
    </row>
    <row r="8532" ht="22.5" customHeight="1">
      <c r="F8532" s="14"/>
    </row>
    <row r="8533" ht="22.5" customHeight="1">
      <c r="F8533" s="14"/>
    </row>
    <row r="8534" ht="22.5" customHeight="1">
      <c r="F8534" s="14"/>
    </row>
    <row r="8535" ht="22.5" customHeight="1">
      <c r="F8535" s="14"/>
    </row>
    <row r="8536" ht="22.5" customHeight="1">
      <c r="F8536" s="14"/>
    </row>
    <row r="8537" ht="22.5" customHeight="1">
      <c r="F8537" s="14"/>
    </row>
    <row r="8538" ht="22.5" customHeight="1">
      <c r="F8538" s="14"/>
    </row>
    <row r="8539" ht="22.5" customHeight="1">
      <c r="F8539" s="14"/>
    </row>
    <row r="8540" ht="22.5" customHeight="1">
      <c r="F8540" s="14"/>
    </row>
    <row r="8541" ht="22.5" customHeight="1">
      <c r="F8541" s="14"/>
    </row>
    <row r="8542" ht="22.5" customHeight="1">
      <c r="F8542" s="14"/>
    </row>
    <row r="8543" ht="22.5" customHeight="1">
      <c r="F8543" s="14"/>
    </row>
    <row r="8544" ht="22.5" customHeight="1">
      <c r="F8544" s="14"/>
    </row>
    <row r="8545" ht="22.5" customHeight="1">
      <c r="F8545" s="14"/>
    </row>
    <row r="8546" ht="22.5" customHeight="1">
      <c r="F8546" s="14"/>
    </row>
    <row r="8547" ht="22.5" customHeight="1">
      <c r="F8547" s="14"/>
    </row>
    <row r="8548" ht="22.5" customHeight="1">
      <c r="F8548" s="14"/>
    </row>
    <row r="8549" ht="22.5" customHeight="1">
      <c r="F8549" s="14"/>
    </row>
    <row r="8550" ht="22.5" customHeight="1">
      <c r="F8550" s="14"/>
    </row>
    <row r="8551" ht="22.5" customHeight="1">
      <c r="F8551" s="14"/>
    </row>
    <row r="8552" ht="22.5" customHeight="1">
      <c r="F8552" s="14"/>
    </row>
    <row r="8553" ht="22.5" customHeight="1">
      <c r="F8553" s="14"/>
    </row>
    <row r="8554" ht="22.5" customHeight="1">
      <c r="F8554" s="14"/>
    </row>
    <row r="8555" ht="22.5" customHeight="1">
      <c r="F8555" s="14"/>
    </row>
    <row r="8556" ht="22.5" customHeight="1">
      <c r="F8556" s="14"/>
    </row>
    <row r="8557" ht="22.5" customHeight="1">
      <c r="F8557" s="14"/>
    </row>
    <row r="8558" ht="22.5" customHeight="1">
      <c r="F8558" s="14"/>
    </row>
    <row r="8559" ht="22.5" customHeight="1">
      <c r="F8559" s="14"/>
    </row>
    <row r="8560" ht="22.5" customHeight="1">
      <c r="F8560" s="14"/>
    </row>
    <row r="8561" ht="22.5" customHeight="1">
      <c r="F8561" s="14"/>
    </row>
    <row r="8562" ht="22.5" customHeight="1">
      <c r="F8562" s="14"/>
    </row>
    <row r="8563" ht="22.5" customHeight="1">
      <c r="F8563" s="14"/>
    </row>
    <row r="8564" ht="22.5" customHeight="1">
      <c r="F8564" s="14"/>
    </row>
    <row r="8565" ht="22.5" customHeight="1">
      <c r="F8565" s="14"/>
    </row>
    <row r="8566" ht="22.5" customHeight="1">
      <c r="F8566" s="14"/>
    </row>
    <row r="8567" ht="22.5" customHeight="1">
      <c r="F8567" s="14"/>
    </row>
    <row r="8568" ht="22.5" customHeight="1">
      <c r="F8568" s="14"/>
    </row>
    <row r="8569" ht="22.5" customHeight="1">
      <c r="F8569" s="14"/>
    </row>
    <row r="8570" ht="22.5" customHeight="1">
      <c r="F8570" s="14"/>
    </row>
    <row r="8571" ht="22.5" customHeight="1">
      <c r="F8571" s="14"/>
    </row>
    <row r="8572" ht="22.5" customHeight="1">
      <c r="F8572" s="14"/>
    </row>
    <row r="8573" ht="22.5" customHeight="1">
      <c r="F8573" s="14"/>
    </row>
    <row r="8574" ht="22.5" customHeight="1">
      <c r="F8574" s="14"/>
    </row>
    <row r="8575" ht="22.5" customHeight="1">
      <c r="F8575" s="14"/>
    </row>
    <row r="8576" ht="22.5" customHeight="1">
      <c r="F8576" s="14"/>
    </row>
    <row r="8577" ht="22.5" customHeight="1">
      <c r="F8577" s="14"/>
    </row>
    <row r="8578" ht="22.5" customHeight="1">
      <c r="F8578" s="14"/>
    </row>
    <row r="8579" ht="22.5" customHeight="1">
      <c r="F8579" s="14"/>
    </row>
    <row r="8580" ht="22.5" customHeight="1">
      <c r="F8580" s="14"/>
    </row>
    <row r="8581" ht="22.5" customHeight="1">
      <c r="F8581" s="14"/>
    </row>
    <row r="8582" ht="22.5" customHeight="1">
      <c r="F8582" s="14"/>
    </row>
    <row r="8583" ht="22.5" customHeight="1">
      <c r="F8583" s="14"/>
    </row>
    <row r="8584" ht="22.5" customHeight="1">
      <c r="F8584" s="14"/>
    </row>
    <row r="8585" ht="22.5" customHeight="1">
      <c r="F8585" s="14"/>
    </row>
    <row r="8586" ht="22.5" customHeight="1">
      <c r="F8586" s="14"/>
    </row>
    <row r="8587" ht="22.5" customHeight="1">
      <c r="F8587" s="14"/>
    </row>
    <row r="8588" ht="22.5" customHeight="1">
      <c r="F8588" s="14"/>
    </row>
    <row r="8589" ht="22.5" customHeight="1">
      <c r="F8589" s="14"/>
    </row>
    <row r="8590" ht="22.5" customHeight="1">
      <c r="F8590" s="14"/>
    </row>
    <row r="8591" ht="22.5" customHeight="1">
      <c r="F8591" s="14"/>
    </row>
    <row r="8592" ht="22.5" customHeight="1">
      <c r="F8592" s="14"/>
    </row>
    <row r="8593" ht="22.5" customHeight="1">
      <c r="F8593" s="14"/>
    </row>
    <row r="8594" ht="22.5" customHeight="1">
      <c r="F8594" s="14"/>
    </row>
    <row r="8595" ht="22.5" customHeight="1">
      <c r="F8595" s="14"/>
    </row>
    <row r="8596" ht="22.5" customHeight="1">
      <c r="F8596" s="14"/>
    </row>
    <row r="8597" ht="22.5" customHeight="1">
      <c r="F8597" s="14"/>
    </row>
    <row r="8598" ht="22.5" customHeight="1">
      <c r="F8598" s="14"/>
    </row>
    <row r="8599" ht="22.5" customHeight="1">
      <c r="F8599" s="14"/>
    </row>
    <row r="8600" ht="22.5" customHeight="1">
      <c r="F8600" s="14"/>
    </row>
    <row r="8601" ht="22.5" customHeight="1">
      <c r="F8601" s="14"/>
    </row>
    <row r="8602" ht="22.5" customHeight="1">
      <c r="F8602" s="14"/>
    </row>
    <row r="8603" ht="22.5" customHeight="1">
      <c r="F8603" s="14"/>
    </row>
    <row r="8604" ht="22.5" customHeight="1">
      <c r="F8604" s="14"/>
    </row>
    <row r="8605" ht="22.5" customHeight="1">
      <c r="F8605" s="14"/>
    </row>
    <row r="8606" ht="22.5" customHeight="1">
      <c r="F8606" s="14"/>
    </row>
    <row r="8607" ht="22.5" customHeight="1">
      <c r="F8607" s="14"/>
    </row>
    <row r="8608" ht="22.5" customHeight="1">
      <c r="F8608" s="14"/>
    </row>
    <row r="8609" ht="22.5" customHeight="1">
      <c r="F8609" s="14"/>
    </row>
    <row r="8610" ht="22.5" customHeight="1">
      <c r="F8610" s="14"/>
    </row>
    <row r="8611" ht="22.5" customHeight="1">
      <c r="F8611" s="14"/>
    </row>
    <row r="8612" ht="22.5" customHeight="1">
      <c r="F8612" s="14"/>
    </row>
    <row r="8613" ht="22.5" customHeight="1">
      <c r="F8613" s="14"/>
    </row>
    <row r="8614" ht="22.5" customHeight="1">
      <c r="F8614" s="14"/>
    </row>
    <row r="8615" ht="22.5" customHeight="1">
      <c r="F8615" s="14"/>
    </row>
    <row r="8616" ht="22.5" customHeight="1">
      <c r="F8616" s="14"/>
    </row>
    <row r="8617" ht="22.5" customHeight="1">
      <c r="F8617" s="14"/>
    </row>
    <row r="8618" ht="22.5" customHeight="1">
      <c r="F8618" s="14"/>
    </row>
    <row r="8619" ht="22.5" customHeight="1">
      <c r="F8619" s="14"/>
    </row>
    <row r="8620" ht="22.5" customHeight="1">
      <c r="F8620" s="14"/>
    </row>
    <row r="8621" ht="22.5" customHeight="1">
      <c r="F8621" s="14"/>
    </row>
    <row r="8622" ht="22.5" customHeight="1">
      <c r="F8622" s="14"/>
    </row>
    <row r="8623" ht="22.5" customHeight="1">
      <c r="F8623" s="14"/>
    </row>
    <row r="8624" ht="22.5" customHeight="1">
      <c r="F8624" s="14"/>
    </row>
    <row r="8625" ht="22.5" customHeight="1">
      <c r="F8625" s="14"/>
    </row>
    <row r="8626" ht="22.5" customHeight="1">
      <c r="F8626" s="14"/>
    </row>
    <row r="8627" ht="22.5" customHeight="1">
      <c r="F8627" s="14"/>
    </row>
    <row r="8628" ht="22.5" customHeight="1">
      <c r="F8628" s="14"/>
    </row>
    <row r="8629" ht="22.5" customHeight="1">
      <c r="F8629" s="14"/>
    </row>
    <row r="8630" ht="22.5" customHeight="1">
      <c r="F8630" s="14"/>
    </row>
    <row r="8631" ht="22.5" customHeight="1">
      <c r="F8631" s="14"/>
    </row>
    <row r="8632" ht="22.5" customHeight="1">
      <c r="F8632" s="14"/>
    </row>
    <row r="8633" ht="22.5" customHeight="1">
      <c r="F8633" s="14"/>
    </row>
    <row r="8634" ht="22.5" customHeight="1">
      <c r="F8634" s="14"/>
    </row>
    <row r="8635" ht="22.5" customHeight="1">
      <c r="F8635" s="14"/>
    </row>
    <row r="8636" ht="22.5" customHeight="1">
      <c r="F8636" s="14"/>
    </row>
    <row r="8637" ht="22.5" customHeight="1">
      <c r="F8637" s="14"/>
    </row>
    <row r="8638" ht="22.5" customHeight="1">
      <c r="F8638" s="14"/>
    </row>
    <row r="8639" ht="22.5" customHeight="1">
      <c r="F8639" s="14"/>
    </row>
    <row r="8640" ht="22.5" customHeight="1">
      <c r="F8640" s="14"/>
    </row>
    <row r="8641" ht="22.5" customHeight="1">
      <c r="F8641" s="14"/>
    </row>
    <row r="8642" ht="22.5" customHeight="1">
      <c r="F8642" s="14"/>
    </row>
    <row r="8643" ht="22.5" customHeight="1">
      <c r="F8643" s="14"/>
    </row>
    <row r="8644" ht="22.5" customHeight="1">
      <c r="F8644" s="14"/>
    </row>
    <row r="8645" ht="22.5" customHeight="1">
      <c r="F8645" s="14"/>
    </row>
    <row r="8646" ht="22.5" customHeight="1">
      <c r="F8646" s="14"/>
    </row>
    <row r="8647" ht="22.5" customHeight="1">
      <c r="F8647" s="14"/>
    </row>
    <row r="8648" ht="22.5" customHeight="1">
      <c r="F8648" s="14"/>
    </row>
    <row r="8649" ht="22.5" customHeight="1">
      <c r="F8649" s="14"/>
    </row>
    <row r="8650" ht="22.5" customHeight="1">
      <c r="F8650" s="14"/>
    </row>
    <row r="8651" ht="22.5" customHeight="1">
      <c r="F8651" s="14"/>
    </row>
    <row r="8652" ht="22.5" customHeight="1">
      <c r="F8652" s="14"/>
    </row>
    <row r="8653" ht="22.5" customHeight="1">
      <c r="F8653" s="14"/>
    </row>
    <row r="8654" ht="22.5" customHeight="1">
      <c r="F8654" s="14"/>
    </row>
    <row r="8655" ht="22.5" customHeight="1">
      <c r="F8655" s="14"/>
    </row>
    <row r="8656" ht="22.5" customHeight="1">
      <c r="F8656" s="14"/>
    </row>
    <row r="8657" ht="22.5" customHeight="1">
      <c r="F8657" s="14"/>
    </row>
    <row r="8658" ht="22.5" customHeight="1">
      <c r="F8658" s="14"/>
    </row>
    <row r="8659" ht="22.5" customHeight="1">
      <c r="F8659" s="14"/>
    </row>
    <row r="8660" ht="22.5" customHeight="1">
      <c r="F8660" s="14"/>
    </row>
    <row r="8661" ht="22.5" customHeight="1">
      <c r="F8661" s="14"/>
    </row>
    <row r="8662" ht="22.5" customHeight="1">
      <c r="F8662" s="14"/>
    </row>
    <row r="8663" ht="22.5" customHeight="1">
      <c r="F8663" s="14"/>
    </row>
    <row r="8664" ht="22.5" customHeight="1">
      <c r="F8664" s="14"/>
    </row>
    <row r="8665" ht="22.5" customHeight="1">
      <c r="F8665" s="14"/>
    </row>
    <row r="8666" ht="22.5" customHeight="1">
      <c r="F8666" s="14"/>
    </row>
    <row r="8667" ht="22.5" customHeight="1">
      <c r="F8667" s="14"/>
    </row>
    <row r="8668" ht="22.5" customHeight="1">
      <c r="F8668" s="14"/>
    </row>
    <row r="8669" ht="22.5" customHeight="1">
      <c r="F8669" s="14"/>
    </row>
    <row r="8670" ht="22.5" customHeight="1">
      <c r="F8670" s="14"/>
    </row>
    <row r="8671" ht="22.5" customHeight="1">
      <c r="F8671" s="14"/>
    </row>
    <row r="8672" ht="22.5" customHeight="1">
      <c r="F8672" s="14"/>
    </row>
    <row r="8673" ht="22.5" customHeight="1">
      <c r="F8673" s="14"/>
    </row>
    <row r="8674" ht="22.5" customHeight="1">
      <c r="F8674" s="14"/>
    </row>
    <row r="8675" ht="22.5" customHeight="1">
      <c r="F8675" s="14"/>
    </row>
    <row r="8676" ht="22.5" customHeight="1">
      <c r="F8676" s="14"/>
    </row>
    <row r="8677" ht="22.5" customHeight="1">
      <c r="F8677" s="14"/>
    </row>
    <row r="8678" ht="22.5" customHeight="1">
      <c r="F8678" s="14"/>
    </row>
    <row r="8679" ht="22.5" customHeight="1">
      <c r="F8679" s="14"/>
    </row>
    <row r="8680" ht="22.5" customHeight="1">
      <c r="F8680" s="14"/>
    </row>
    <row r="8681" ht="22.5" customHeight="1">
      <c r="F8681" s="14"/>
    </row>
    <row r="8682" ht="22.5" customHeight="1">
      <c r="F8682" s="14"/>
    </row>
    <row r="8683" ht="22.5" customHeight="1">
      <c r="F8683" s="14"/>
    </row>
    <row r="8684" ht="22.5" customHeight="1">
      <c r="F8684" s="14"/>
    </row>
    <row r="8685" ht="22.5" customHeight="1">
      <c r="F8685" s="14"/>
    </row>
    <row r="8686" ht="22.5" customHeight="1">
      <c r="F8686" s="14"/>
    </row>
    <row r="8687" ht="22.5" customHeight="1">
      <c r="F8687" s="14"/>
    </row>
    <row r="8688" ht="22.5" customHeight="1">
      <c r="F8688" s="14"/>
    </row>
    <row r="8689" ht="22.5" customHeight="1">
      <c r="F8689" s="14"/>
    </row>
    <row r="8690" ht="22.5" customHeight="1">
      <c r="F8690" s="14"/>
    </row>
    <row r="8691" ht="22.5" customHeight="1">
      <c r="F8691" s="14"/>
    </row>
    <row r="8692" ht="22.5" customHeight="1">
      <c r="F8692" s="14"/>
    </row>
    <row r="8693" ht="22.5" customHeight="1">
      <c r="F8693" s="14"/>
    </row>
    <row r="8694" ht="22.5" customHeight="1">
      <c r="F8694" s="14"/>
    </row>
    <row r="8695" ht="22.5" customHeight="1">
      <c r="F8695" s="14"/>
    </row>
    <row r="8696" ht="22.5" customHeight="1">
      <c r="F8696" s="14"/>
    </row>
    <row r="8697" ht="22.5" customHeight="1">
      <c r="F8697" s="14"/>
    </row>
    <row r="8698" ht="22.5" customHeight="1">
      <c r="F8698" s="14"/>
    </row>
    <row r="8699" ht="22.5" customHeight="1">
      <c r="F8699" s="14"/>
    </row>
    <row r="8700" ht="22.5" customHeight="1">
      <c r="F8700" s="14"/>
    </row>
    <row r="8701" ht="22.5" customHeight="1">
      <c r="F8701" s="14"/>
    </row>
    <row r="8702" ht="22.5" customHeight="1">
      <c r="F8702" s="14"/>
    </row>
    <row r="8703" ht="22.5" customHeight="1">
      <c r="F8703" s="14"/>
    </row>
    <row r="8704" ht="22.5" customHeight="1">
      <c r="F8704" s="14"/>
    </row>
    <row r="8705" ht="22.5" customHeight="1">
      <c r="F8705" s="14"/>
    </row>
    <row r="8706" ht="22.5" customHeight="1">
      <c r="F8706" s="14"/>
    </row>
    <row r="8707" ht="22.5" customHeight="1">
      <c r="F8707" s="14"/>
    </row>
    <row r="8708" ht="22.5" customHeight="1">
      <c r="F8708" s="14"/>
    </row>
    <row r="8709" ht="22.5" customHeight="1">
      <c r="F8709" s="14"/>
    </row>
    <row r="8710" ht="22.5" customHeight="1">
      <c r="F8710" s="14"/>
    </row>
    <row r="8711" ht="22.5" customHeight="1">
      <c r="F8711" s="14"/>
    </row>
    <row r="8712" ht="22.5" customHeight="1">
      <c r="F8712" s="14"/>
    </row>
    <row r="8713" ht="22.5" customHeight="1">
      <c r="F8713" s="14"/>
    </row>
    <row r="8714" ht="22.5" customHeight="1">
      <c r="F8714" s="14"/>
    </row>
    <row r="8715" ht="22.5" customHeight="1">
      <c r="F8715" s="14"/>
    </row>
    <row r="8716" ht="22.5" customHeight="1">
      <c r="F8716" s="14"/>
    </row>
    <row r="8717" ht="22.5" customHeight="1">
      <c r="F8717" s="14"/>
    </row>
    <row r="8718" ht="22.5" customHeight="1">
      <c r="F8718" s="14"/>
    </row>
    <row r="8719" ht="22.5" customHeight="1">
      <c r="F8719" s="14"/>
    </row>
    <row r="8720" ht="22.5" customHeight="1">
      <c r="F8720" s="14"/>
    </row>
    <row r="8721" ht="22.5" customHeight="1">
      <c r="F8721" s="14"/>
    </row>
    <row r="8722" ht="22.5" customHeight="1">
      <c r="F8722" s="14"/>
    </row>
    <row r="8723" ht="22.5" customHeight="1">
      <c r="F8723" s="14"/>
    </row>
    <row r="8724" ht="22.5" customHeight="1">
      <c r="F8724" s="14"/>
    </row>
    <row r="8725" ht="22.5" customHeight="1">
      <c r="F8725" s="14"/>
    </row>
    <row r="8726" ht="22.5" customHeight="1">
      <c r="F8726" s="14"/>
    </row>
    <row r="8727" ht="22.5" customHeight="1">
      <c r="F8727" s="14"/>
    </row>
    <row r="8728" ht="22.5" customHeight="1">
      <c r="F8728" s="14"/>
    </row>
    <row r="8729" ht="22.5" customHeight="1">
      <c r="F8729" s="14"/>
    </row>
    <row r="8730" ht="22.5" customHeight="1">
      <c r="F8730" s="14"/>
    </row>
    <row r="8731" ht="22.5" customHeight="1">
      <c r="F8731" s="14"/>
    </row>
    <row r="8732" ht="22.5" customHeight="1">
      <c r="F8732" s="14"/>
    </row>
    <row r="8733" ht="22.5" customHeight="1">
      <c r="F8733" s="14"/>
    </row>
    <row r="8734" ht="22.5" customHeight="1">
      <c r="F8734" s="14"/>
    </row>
    <row r="8735" ht="22.5" customHeight="1">
      <c r="F8735" s="14"/>
    </row>
    <row r="8736" ht="22.5" customHeight="1">
      <c r="F8736" s="14"/>
    </row>
    <row r="8737" ht="22.5" customHeight="1">
      <c r="F8737" s="14"/>
    </row>
    <row r="8738" ht="22.5" customHeight="1">
      <c r="F8738" s="14"/>
    </row>
    <row r="8739" ht="22.5" customHeight="1">
      <c r="F8739" s="14"/>
    </row>
    <row r="8740" ht="22.5" customHeight="1">
      <c r="F8740" s="14"/>
    </row>
    <row r="8741" ht="22.5" customHeight="1">
      <c r="F8741" s="14"/>
    </row>
    <row r="8742" ht="22.5" customHeight="1">
      <c r="F8742" s="14"/>
    </row>
    <row r="8743" ht="22.5" customHeight="1">
      <c r="F8743" s="14"/>
    </row>
    <row r="8744" ht="22.5" customHeight="1">
      <c r="F8744" s="14"/>
    </row>
    <row r="8745" ht="22.5" customHeight="1">
      <c r="F8745" s="14"/>
    </row>
    <row r="8746" ht="22.5" customHeight="1">
      <c r="F8746" s="14"/>
    </row>
    <row r="8747" ht="22.5" customHeight="1">
      <c r="F8747" s="14"/>
    </row>
    <row r="8748" ht="22.5" customHeight="1">
      <c r="F8748" s="14"/>
    </row>
    <row r="8749" ht="22.5" customHeight="1">
      <c r="F8749" s="14"/>
    </row>
    <row r="8750" ht="22.5" customHeight="1">
      <c r="F8750" s="14"/>
    </row>
    <row r="8751" ht="22.5" customHeight="1">
      <c r="F8751" s="14"/>
    </row>
    <row r="8752" ht="22.5" customHeight="1">
      <c r="F8752" s="14"/>
    </row>
    <row r="8753" ht="22.5" customHeight="1">
      <c r="F8753" s="14"/>
    </row>
    <row r="8754" ht="22.5" customHeight="1">
      <c r="F8754" s="14"/>
    </row>
    <row r="8755" ht="22.5" customHeight="1">
      <c r="F8755" s="14"/>
    </row>
    <row r="8756" ht="22.5" customHeight="1">
      <c r="F8756" s="14"/>
    </row>
    <row r="8757" ht="22.5" customHeight="1">
      <c r="F8757" s="14"/>
    </row>
    <row r="8758" ht="22.5" customHeight="1">
      <c r="F8758" s="14"/>
    </row>
    <row r="8759" ht="22.5" customHeight="1">
      <c r="F8759" s="14"/>
    </row>
    <row r="8760" ht="22.5" customHeight="1">
      <c r="F8760" s="14"/>
    </row>
    <row r="8761" ht="22.5" customHeight="1">
      <c r="F8761" s="14"/>
    </row>
    <row r="8762" ht="22.5" customHeight="1">
      <c r="F8762" s="14"/>
    </row>
    <row r="8763" ht="22.5" customHeight="1">
      <c r="F8763" s="14"/>
    </row>
    <row r="8764" ht="22.5" customHeight="1">
      <c r="F8764" s="14"/>
    </row>
    <row r="8765" ht="22.5" customHeight="1">
      <c r="F8765" s="14"/>
    </row>
    <row r="8766" ht="22.5" customHeight="1">
      <c r="F8766" s="14"/>
    </row>
    <row r="8767" ht="22.5" customHeight="1">
      <c r="F8767" s="14"/>
    </row>
    <row r="8768" ht="22.5" customHeight="1">
      <c r="F8768" s="14"/>
    </row>
    <row r="8769" ht="22.5" customHeight="1">
      <c r="F8769" s="14"/>
    </row>
    <row r="8770" ht="22.5" customHeight="1">
      <c r="F8770" s="14"/>
    </row>
    <row r="8771" ht="22.5" customHeight="1">
      <c r="F8771" s="14"/>
    </row>
    <row r="8772" ht="22.5" customHeight="1">
      <c r="F8772" s="14"/>
    </row>
    <row r="8773" ht="22.5" customHeight="1">
      <c r="F8773" s="14"/>
    </row>
    <row r="8774" ht="22.5" customHeight="1">
      <c r="F8774" s="14"/>
    </row>
    <row r="8775" ht="22.5" customHeight="1">
      <c r="F8775" s="14"/>
    </row>
    <row r="8776" ht="22.5" customHeight="1">
      <c r="F8776" s="14"/>
    </row>
    <row r="8777" ht="22.5" customHeight="1">
      <c r="F8777" s="14"/>
    </row>
    <row r="8778" ht="22.5" customHeight="1">
      <c r="F8778" s="14"/>
    </row>
    <row r="8779" ht="22.5" customHeight="1">
      <c r="F8779" s="14"/>
    </row>
    <row r="8780" ht="22.5" customHeight="1">
      <c r="F8780" s="14"/>
    </row>
    <row r="8781" ht="22.5" customHeight="1">
      <c r="F8781" s="14"/>
    </row>
    <row r="8782" ht="22.5" customHeight="1">
      <c r="F8782" s="14"/>
    </row>
    <row r="8783" ht="22.5" customHeight="1">
      <c r="F8783" s="14"/>
    </row>
    <row r="8784" ht="22.5" customHeight="1">
      <c r="F8784" s="14"/>
    </row>
    <row r="8785" ht="22.5" customHeight="1">
      <c r="F8785" s="14"/>
    </row>
    <row r="8786" ht="22.5" customHeight="1">
      <c r="F8786" s="14"/>
    </row>
    <row r="8787" ht="22.5" customHeight="1">
      <c r="F8787" s="14"/>
    </row>
    <row r="8788" ht="22.5" customHeight="1">
      <c r="F8788" s="14"/>
    </row>
    <row r="8789" ht="22.5" customHeight="1">
      <c r="F8789" s="14"/>
    </row>
    <row r="8790" ht="22.5" customHeight="1">
      <c r="F8790" s="14"/>
    </row>
    <row r="8791" ht="22.5" customHeight="1">
      <c r="F8791" s="14"/>
    </row>
    <row r="8792" ht="22.5" customHeight="1">
      <c r="F8792" s="14"/>
    </row>
    <row r="8793" ht="22.5" customHeight="1">
      <c r="F8793" s="14"/>
    </row>
    <row r="8794" ht="22.5" customHeight="1">
      <c r="F8794" s="14"/>
    </row>
    <row r="8795" ht="22.5" customHeight="1">
      <c r="F8795" s="14"/>
    </row>
    <row r="8796" ht="22.5" customHeight="1">
      <c r="F8796" s="14"/>
    </row>
    <row r="8797" ht="22.5" customHeight="1">
      <c r="F8797" s="14"/>
    </row>
    <row r="8798" ht="22.5" customHeight="1">
      <c r="F8798" s="14"/>
    </row>
    <row r="8799" ht="22.5" customHeight="1">
      <c r="F8799" s="14"/>
    </row>
    <row r="8800" ht="22.5" customHeight="1">
      <c r="F8800" s="14"/>
    </row>
    <row r="8801" ht="22.5" customHeight="1">
      <c r="F8801" s="14"/>
    </row>
    <row r="8802" ht="22.5" customHeight="1">
      <c r="F8802" s="14"/>
    </row>
    <row r="8803" ht="22.5" customHeight="1">
      <c r="F8803" s="14"/>
    </row>
    <row r="8804" ht="22.5" customHeight="1">
      <c r="F8804" s="14"/>
    </row>
    <row r="8805" ht="22.5" customHeight="1">
      <c r="F8805" s="14"/>
    </row>
    <row r="8806" ht="22.5" customHeight="1">
      <c r="F8806" s="14"/>
    </row>
    <row r="8807" ht="22.5" customHeight="1">
      <c r="F8807" s="14"/>
    </row>
    <row r="8808" ht="22.5" customHeight="1">
      <c r="F8808" s="14"/>
    </row>
    <row r="8809" ht="22.5" customHeight="1">
      <c r="F8809" s="14"/>
    </row>
    <row r="8810" ht="22.5" customHeight="1">
      <c r="F8810" s="14"/>
    </row>
    <row r="8811" ht="22.5" customHeight="1">
      <c r="F8811" s="14"/>
    </row>
    <row r="8812" ht="22.5" customHeight="1">
      <c r="F8812" s="14"/>
    </row>
    <row r="8813" ht="22.5" customHeight="1">
      <c r="F8813" s="14"/>
    </row>
    <row r="8814" ht="22.5" customHeight="1">
      <c r="F8814" s="14"/>
    </row>
    <row r="8815" ht="22.5" customHeight="1">
      <c r="F8815" s="14"/>
    </row>
    <row r="8816" ht="22.5" customHeight="1">
      <c r="F8816" s="14"/>
    </row>
    <row r="8817" ht="22.5" customHeight="1">
      <c r="F8817" s="14"/>
    </row>
    <row r="8818" ht="22.5" customHeight="1">
      <c r="F8818" s="14"/>
    </row>
    <row r="8819" ht="22.5" customHeight="1">
      <c r="F8819" s="14"/>
    </row>
    <row r="8820" ht="22.5" customHeight="1">
      <c r="F8820" s="14"/>
    </row>
    <row r="8821" ht="22.5" customHeight="1">
      <c r="F8821" s="14"/>
    </row>
    <row r="8822" ht="22.5" customHeight="1">
      <c r="F8822" s="14"/>
    </row>
    <row r="8823" ht="22.5" customHeight="1">
      <c r="F8823" s="14"/>
    </row>
    <row r="8824" ht="22.5" customHeight="1">
      <c r="F8824" s="14"/>
    </row>
    <row r="8825" ht="22.5" customHeight="1">
      <c r="F8825" s="14"/>
    </row>
    <row r="8826" ht="22.5" customHeight="1">
      <c r="F8826" s="14"/>
    </row>
    <row r="8827" ht="22.5" customHeight="1">
      <c r="F8827" s="14"/>
    </row>
    <row r="8828" ht="22.5" customHeight="1">
      <c r="F8828" s="14"/>
    </row>
    <row r="8829" ht="22.5" customHeight="1">
      <c r="F8829" s="14"/>
    </row>
    <row r="8830" ht="22.5" customHeight="1">
      <c r="F8830" s="14"/>
    </row>
    <row r="8831" ht="22.5" customHeight="1">
      <c r="F8831" s="14"/>
    </row>
    <row r="8832" ht="22.5" customHeight="1">
      <c r="F8832" s="14"/>
    </row>
    <row r="8833" ht="22.5" customHeight="1">
      <c r="F8833" s="14"/>
    </row>
    <row r="8834" ht="22.5" customHeight="1">
      <c r="F8834" s="14"/>
    </row>
    <row r="8835" ht="22.5" customHeight="1">
      <c r="F8835" s="14"/>
    </row>
    <row r="8836" ht="22.5" customHeight="1">
      <c r="F8836" s="14"/>
    </row>
    <row r="8837" ht="22.5" customHeight="1">
      <c r="F8837" s="14"/>
    </row>
    <row r="8838" ht="22.5" customHeight="1">
      <c r="F8838" s="14"/>
    </row>
    <row r="8839" ht="22.5" customHeight="1">
      <c r="F8839" s="14"/>
    </row>
    <row r="8840" ht="22.5" customHeight="1">
      <c r="F8840" s="14"/>
    </row>
    <row r="8841" ht="22.5" customHeight="1">
      <c r="F8841" s="14"/>
    </row>
    <row r="8842" ht="22.5" customHeight="1">
      <c r="F8842" s="14"/>
    </row>
    <row r="8843" ht="22.5" customHeight="1">
      <c r="F8843" s="14"/>
    </row>
    <row r="8844" ht="22.5" customHeight="1">
      <c r="F8844" s="14"/>
    </row>
    <row r="8845" ht="22.5" customHeight="1">
      <c r="F8845" s="14"/>
    </row>
    <row r="8846" ht="22.5" customHeight="1">
      <c r="F8846" s="14"/>
    </row>
    <row r="8847" ht="22.5" customHeight="1">
      <c r="F8847" s="14"/>
    </row>
    <row r="8848" ht="22.5" customHeight="1">
      <c r="F8848" s="14"/>
    </row>
    <row r="8849" ht="22.5" customHeight="1">
      <c r="F8849" s="14"/>
    </row>
    <row r="8850" ht="22.5" customHeight="1">
      <c r="F8850" s="14"/>
    </row>
    <row r="8851" ht="22.5" customHeight="1">
      <c r="F8851" s="14"/>
    </row>
    <row r="8852" ht="22.5" customHeight="1">
      <c r="F8852" s="14"/>
    </row>
    <row r="8853" ht="22.5" customHeight="1">
      <c r="F8853" s="14"/>
    </row>
    <row r="8854" ht="22.5" customHeight="1">
      <c r="F8854" s="14"/>
    </row>
    <row r="8855" ht="22.5" customHeight="1">
      <c r="F8855" s="14"/>
    </row>
    <row r="8856" ht="22.5" customHeight="1">
      <c r="F8856" s="14"/>
    </row>
    <row r="8857" ht="22.5" customHeight="1">
      <c r="F8857" s="14"/>
    </row>
    <row r="8858" ht="22.5" customHeight="1">
      <c r="F8858" s="14"/>
    </row>
    <row r="8859" ht="22.5" customHeight="1">
      <c r="F8859" s="14"/>
    </row>
    <row r="8860" ht="22.5" customHeight="1">
      <c r="F8860" s="14"/>
    </row>
    <row r="8861" ht="22.5" customHeight="1">
      <c r="F8861" s="14"/>
    </row>
    <row r="8862" ht="22.5" customHeight="1">
      <c r="F8862" s="14"/>
    </row>
    <row r="8863" ht="22.5" customHeight="1">
      <c r="F8863" s="14"/>
    </row>
    <row r="8864" ht="22.5" customHeight="1">
      <c r="F8864" s="14"/>
    </row>
    <row r="8865" ht="22.5" customHeight="1">
      <c r="F8865" s="14"/>
    </row>
    <row r="8866" ht="22.5" customHeight="1">
      <c r="F8866" s="14"/>
    </row>
    <row r="8867" ht="22.5" customHeight="1">
      <c r="F8867" s="14"/>
    </row>
    <row r="8868" ht="22.5" customHeight="1">
      <c r="F8868" s="14"/>
    </row>
    <row r="8869" ht="22.5" customHeight="1">
      <c r="F8869" s="14"/>
    </row>
    <row r="8870" ht="22.5" customHeight="1">
      <c r="F8870" s="14"/>
    </row>
    <row r="8871" ht="22.5" customHeight="1">
      <c r="F8871" s="14"/>
    </row>
    <row r="8872" ht="22.5" customHeight="1">
      <c r="F8872" s="14"/>
    </row>
    <row r="8873" ht="22.5" customHeight="1">
      <c r="F8873" s="14"/>
    </row>
    <row r="8874" ht="22.5" customHeight="1">
      <c r="F8874" s="14"/>
    </row>
    <row r="8875" ht="22.5" customHeight="1">
      <c r="F8875" s="14"/>
    </row>
    <row r="8876" ht="22.5" customHeight="1">
      <c r="F8876" s="14"/>
    </row>
    <row r="8877" ht="22.5" customHeight="1">
      <c r="F8877" s="14"/>
    </row>
    <row r="8878" ht="22.5" customHeight="1">
      <c r="F8878" s="14"/>
    </row>
    <row r="8879" ht="22.5" customHeight="1">
      <c r="F8879" s="14"/>
    </row>
    <row r="8880" ht="22.5" customHeight="1">
      <c r="F8880" s="14"/>
    </row>
    <row r="8881" ht="22.5" customHeight="1">
      <c r="F8881" s="14"/>
    </row>
    <row r="8882" ht="22.5" customHeight="1">
      <c r="F8882" s="14"/>
    </row>
    <row r="8883" ht="22.5" customHeight="1">
      <c r="F8883" s="14"/>
    </row>
    <row r="8884" ht="22.5" customHeight="1">
      <c r="F8884" s="14"/>
    </row>
    <row r="8885" ht="22.5" customHeight="1">
      <c r="F8885" s="14"/>
    </row>
    <row r="8886" ht="22.5" customHeight="1">
      <c r="F8886" s="14"/>
    </row>
    <row r="8887" ht="22.5" customHeight="1">
      <c r="F8887" s="14"/>
    </row>
    <row r="8888" ht="22.5" customHeight="1">
      <c r="F8888" s="14"/>
    </row>
    <row r="8889" ht="22.5" customHeight="1">
      <c r="F8889" s="14"/>
    </row>
    <row r="8890" ht="22.5" customHeight="1">
      <c r="F8890" s="14"/>
    </row>
    <row r="8891" ht="22.5" customHeight="1">
      <c r="F8891" s="14"/>
    </row>
    <row r="8892" ht="22.5" customHeight="1">
      <c r="F8892" s="14"/>
    </row>
    <row r="8893" ht="22.5" customHeight="1">
      <c r="F8893" s="14"/>
    </row>
    <row r="8894" ht="22.5" customHeight="1">
      <c r="F8894" s="14"/>
    </row>
    <row r="8895" ht="22.5" customHeight="1">
      <c r="F8895" s="14"/>
    </row>
    <row r="8896" ht="22.5" customHeight="1">
      <c r="F8896" s="14"/>
    </row>
    <row r="8897" ht="22.5" customHeight="1">
      <c r="F8897" s="14"/>
    </row>
    <row r="8898" ht="22.5" customHeight="1">
      <c r="F8898" s="14"/>
    </row>
    <row r="8899" ht="22.5" customHeight="1">
      <c r="F8899" s="14"/>
    </row>
    <row r="8900" ht="22.5" customHeight="1">
      <c r="F8900" s="14"/>
    </row>
    <row r="8901" ht="22.5" customHeight="1">
      <c r="F8901" s="14"/>
    </row>
    <row r="8902" ht="22.5" customHeight="1">
      <c r="F8902" s="14"/>
    </row>
    <row r="8903" ht="22.5" customHeight="1">
      <c r="F8903" s="14"/>
    </row>
    <row r="8904" ht="22.5" customHeight="1">
      <c r="F8904" s="14"/>
    </row>
    <row r="8905" ht="22.5" customHeight="1">
      <c r="F8905" s="14"/>
    </row>
    <row r="8906" ht="22.5" customHeight="1">
      <c r="F8906" s="14"/>
    </row>
    <row r="8907" ht="22.5" customHeight="1">
      <c r="F8907" s="14"/>
    </row>
    <row r="8908" ht="22.5" customHeight="1">
      <c r="F8908" s="14"/>
    </row>
    <row r="8909" ht="22.5" customHeight="1">
      <c r="F8909" s="14"/>
    </row>
    <row r="8910" ht="22.5" customHeight="1">
      <c r="F8910" s="14"/>
    </row>
    <row r="8911" ht="22.5" customHeight="1">
      <c r="F8911" s="14"/>
    </row>
    <row r="8912" ht="22.5" customHeight="1">
      <c r="F8912" s="14"/>
    </row>
    <row r="8913" ht="22.5" customHeight="1">
      <c r="F8913" s="14"/>
    </row>
    <row r="8914" ht="22.5" customHeight="1">
      <c r="F8914" s="14"/>
    </row>
    <row r="8915" ht="22.5" customHeight="1">
      <c r="F8915" s="14"/>
    </row>
    <row r="8916" ht="22.5" customHeight="1">
      <c r="F8916" s="14"/>
    </row>
    <row r="8917" ht="22.5" customHeight="1">
      <c r="F8917" s="14"/>
    </row>
    <row r="8918" ht="22.5" customHeight="1">
      <c r="F8918" s="14"/>
    </row>
    <row r="8919" ht="22.5" customHeight="1">
      <c r="F8919" s="14"/>
    </row>
    <row r="8920" ht="22.5" customHeight="1">
      <c r="F8920" s="14"/>
    </row>
    <row r="8921" ht="22.5" customHeight="1">
      <c r="F8921" s="14"/>
    </row>
    <row r="8922" ht="22.5" customHeight="1">
      <c r="F8922" s="14"/>
    </row>
    <row r="8923" ht="22.5" customHeight="1">
      <c r="F8923" s="14"/>
    </row>
    <row r="8924" ht="22.5" customHeight="1">
      <c r="F8924" s="14"/>
    </row>
    <row r="8925" ht="22.5" customHeight="1">
      <c r="F8925" s="14"/>
    </row>
    <row r="8926" ht="22.5" customHeight="1">
      <c r="F8926" s="14"/>
    </row>
    <row r="8927" ht="22.5" customHeight="1">
      <c r="F8927" s="14"/>
    </row>
    <row r="8928" ht="22.5" customHeight="1">
      <c r="F8928" s="14"/>
    </row>
    <row r="8929" ht="22.5" customHeight="1">
      <c r="F8929" s="14"/>
    </row>
    <row r="8930" ht="22.5" customHeight="1">
      <c r="F8930" s="14"/>
    </row>
    <row r="8931" ht="22.5" customHeight="1">
      <c r="F8931" s="14"/>
    </row>
    <row r="8932" ht="22.5" customHeight="1">
      <c r="F8932" s="14"/>
    </row>
    <row r="8933" ht="22.5" customHeight="1">
      <c r="F8933" s="14"/>
    </row>
    <row r="8934" ht="22.5" customHeight="1">
      <c r="F8934" s="14"/>
    </row>
    <row r="8935" ht="22.5" customHeight="1">
      <c r="F8935" s="14"/>
    </row>
    <row r="8936" ht="22.5" customHeight="1">
      <c r="F8936" s="14"/>
    </row>
    <row r="8937" ht="22.5" customHeight="1">
      <c r="F8937" s="14"/>
    </row>
    <row r="8938" ht="22.5" customHeight="1">
      <c r="F8938" s="14"/>
    </row>
    <row r="8939" ht="22.5" customHeight="1">
      <c r="F8939" s="14"/>
    </row>
    <row r="8940" ht="22.5" customHeight="1">
      <c r="F8940" s="14"/>
    </row>
    <row r="8941" ht="22.5" customHeight="1">
      <c r="F8941" s="14"/>
    </row>
    <row r="8942" ht="22.5" customHeight="1">
      <c r="F8942" s="14"/>
    </row>
    <row r="8943" ht="22.5" customHeight="1">
      <c r="F8943" s="14"/>
    </row>
    <row r="8944" ht="22.5" customHeight="1">
      <c r="F8944" s="14"/>
    </row>
    <row r="8945" ht="22.5" customHeight="1">
      <c r="F8945" s="14"/>
    </row>
    <row r="8946" ht="22.5" customHeight="1">
      <c r="F8946" s="14"/>
    </row>
    <row r="8947" ht="22.5" customHeight="1">
      <c r="F8947" s="14"/>
    </row>
    <row r="8948" ht="22.5" customHeight="1">
      <c r="F8948" s="14"/>
    </row>
    <row r="8949" ht="22.5" customHeight="1">
      <c r="F8949" s="14"/>
    </row>
    <row r="8950" ht="22.5" customHeight="1">
      <c r="F8950" s="14"/>
    </row>
    <row r="8951" ht="22.5" customHeight="1">
      <c r="F8951" s="14"/>
    </row>
    <row r="8952" ht="22.5" customHeight="1">
      <c r="F8952" s="14"/>
    </row>
    <row r="8953" ht="22.5" customHeight="1">
      <c r="F8953" s="14"/>
    </row>
    <row r="8954" ht="22.5" customHeight="1">
      <c r="F8954" s="14"/>
    </row>
    <row r="8955" ht="22.5" customHeight="1">
      <c r="F8955" s="14"/>
    </row>
    <row r="8956" ht="22.5" customHeight="1">
      <c r="F8956" s="14"/>
    </row>
    <row r="8957" ht="22.5" customHeight="1">
      <c r="F8957" s="14"/>
    </row>
    <row r="8958" ht="22.5" customHeight="1">
      <c r="F8958" s="14"/>
    </row>
    <row r="8959" ht="22.5" customHeight="1">
      <c r="F8959" s="14"/>
    </row>
    <row r="8960" ht="22.5" customHeight="1">
      <c r="F8960" s="14"/>
    </row>
    <row r="8961" ht="22.5" customHeight="1">
      <c r="F8961" s="14"/>
    </row>
    <row r="8962" ht="22.5" customHeight="1">
      <c r="F8962" s="14"/>
    </row>
    <row r="8963" ht="22.5" customHeight="1">
      <c r="F8963" s="14"/>
    </row>
    <row r="8964" ht="22.5" customHeight="1">
      <c r="F8964" s="14"/>
    </row>
    <row r="8965" ht="22.5" customHeight="1">
      <c r="F8965" s="14"/>
    </row>
    <row r="8966" ht="22.5" customHeight="1">
      <c r="F8966" s="14"/>
    </row>
    <row r="8967" ht="22.5" customHeight="1">
      <c r="F8967" s="14"/>
    </row>
    <row r="8968" ht="22.5" customHeight="1">
      <c r="F8968" s="14"/>
    </row>
    <row r="8969" ht="22.5" customHeight="1">
      <c r="F8969" s="14"/>
    </row>
    <row r="8970" ht="22.5" customHeight="1">
      <c r="F8970" s="14"/>
    </row>
    <row r="8971" ht="22.5" customHeight="1">
      <c r="F8971" s="14"/>
    </row>
    <row r="8972" ht="22.5" customHeight="1">
      <c r="F8972" s="14"/>
    </row>
    <row r="8973" ht="22.5" customHeight="1">
      <c r="F8973" s="14"/>
    </row>
    <row r="8974" ht="22.5" customHeight="1">
      <c r="F8974" s="14"/>
    </row>
    <row r="8975" ht="22.5" customHeight="1">
      <c r="F8975" s="14"/>
    </row>
    <row r="8976" ht="22.5" customHeight="1">
      <c r="F8976" s="14"/>
    </row>
    <row r="8977" ht="22.5" customHeight="1">
      <c r="F8977" s="14"/>
    </row>
    <row r="8978" ht="22.5" customHeight="1">
      <c r="F8978" s="14"/>
    </row>
    <row r="8979" ht="22.5" customHeight="1">
      <c r="F8979" s="14"/>
    </row>
    <row r="8980" ht="22.5" customHeight="1">
      <c r="F8980" s="14"/>
    </row>
    <row r="8981" ht="22.5" customHeight="1">
      <c r="F8981" s="14"/>
    </row>
    <row r="8982" ht="22.5" customHeight="1">
      <c r="F8982" s="14"/>
    </row>
    <row r="8983" ht="22.5" customHeight="1">
      <c r="F8983" s="14"/>
    </row>
    <row r="8984" ht="22.5" customHeight="1">
      <c r="F8984" s="14"/>
    </row>
    <row r="8985" ht="22.5" customHeight="1">
      <c r="F8985" s="14"/>
    </row>
    <row r="8986" ht="22.5" customHeight="1">
      <c r="F8986" s="14"/>
    </row>
    <row r="8987" ht="22.5" customHeight="1">
      <c r="F8987" s="14"/>
    </row>
    <row r="8988" ht="22.5" customHeight="1">
      <c r="F8988" s="14"/>
    </row>
    <row r="8989" ht="22.5" customHeight="1">
      <c r="F8989" s="14"/>
    </row>
    <row r="8990" ht="22.5" customHeight="1">
      <c r="F8990" s="14"/>
    </row>
    <row r="8991" ht="22.5" customHeight="1">
      <c r="F8991" s="14"/>
    </row>
    <row r="8992" ht="22.5" customHeight="1">
      <c r="F8992" s="14"/>
    </row>
    <row r="8993" ht="22.5" customHeight="1">
      <c r="F8993" s="14"/>
    </row>
    <row r="8994" ht="22.5" customHeight="1">
      <c r="F8994" s="14"/>
    </row>
    <row r="8995" ht="22.5" customHeight="1">
      <c r="F8995" s="14"/>
    </row>
    <row r="8996" ht="22.5" customHeight="1">
      <c r="F8996" s="14"/>
    </row>
    <row r="8997" ht="22.5" customHeight="1">
      <c r="F8997" s="14"/>
    </row>
    <row r="8998" ht="22.5" customHeight="1">
      <c r="F8998" s="14"/>
    </row>
    <row r="8999" ht="22.5" customHeight="1">
      <c r="F8999" s="14"/>
    </row>
    <row r="9000" ht="22.5" customHeight="1">
      <c r="F9000" s="14"/>
    </row>
    <row r="9001" ht="22.5" customHeight="1">
      <c r="F9001" s="14"/>
    </row>
    <row r="9002" ht="22.5" customHeight="1">
      <c r="F9002" s="14"/>
    </row>
    <row r="9003" ht="22.5" customHeight="1">
      <c r="F9003" s="14"/>
    </row>
    <row r="9004" ht="22.5" customHeight="1">
      <c r="F9004" s="14"/>
    </row>
    <row r="9005" ht="22.5" customHeight="1">
      <c r="F9005" s="14"/>
    </row>
    <row r="9006" ht="22.5" customHeight="1">
      <c r="F9006" s="14"/>
    </row>
    <row r="9007" ht="22.5" customHeight="1">
      <c r="F9007" s="14"/>
    </row>
    <row r="9008" ht="22.5" customHeight="1">
      <c r="F9008" s="14"/>
    </row>
    <row r="9009" ht="22.5" customHeight="1">
      <c r="F9009" s="14"/>
    </row>
    <row r="9010" ht="22.5" customHeight="1">
      <c r="F9010" s="14"/>
    </row>
    <row r="9011" ht="22.5" customHeight="1">
      <c r="F9011" s="14"/>
    </row>
    <row r="9012" ht="22.5" customHeight="1">
      <c r="F9012" s="14"/>
    </row>
    <row r="9013" ht="22.5" customHeight="1">
      <c r="F9013" s="14"/>
    </row>
    <row r="9014" ht="22.5" customHeight="1">
      <c r="F9014" s="14"/>
    </row>
    <row r="9015" ht="22.5" customHeight="1">
      <c r="F9015" s="14"/>
    </row>
    <row r="9016" ht="22.5" customHeight="1">
      <c r="F9016" s="14"/>
    </row>
    <row r="9017" ht="22.5" customHeight="1">
      <c r="F9017" s="14"/>
    </row>
    <row r="9018" ht="22.5" customHeight="1">
      <c r="F9018" s="14"/>
    </row>
    <row r="9019" ht="22.5" customHeight="1">
      <c r="F9019" s="14"/>
    </row>
    <row r="9020" ht="22.5" customHeight="1">
      <c r="F9020" s="14"/>
    </row>
    <row r="9021" ht="22.5" customHeight="1">
      <c r="F9021" s="14"/>
    </row>
    <row r="9022" ht="22.5" customHeight="1">
      <c r="F9022" s="14"/>
    </row>
    <row r="9023" ht="22.5" customHeight="1">
      <c r="F9023" s="14"/>
    </row>
    <row r="9024" ht="22.5" customHeight="1">
      <c r="F9024" s="14"/>
    </row>
    <row r="9025" ht="22.5" customHeight="1">
      <c r="F9025" s="14"/>
    </row>
    <row r="9026" ht="22.5" customHeight="1">
      <c r="F9026" s="14"/>
    </row>
    <row r="9027" ht="22.5" customHeight="1">
      <c r="F9027" s="14"/>
    </row>
    <row r="9028" ht="22.5" customHeight="1">
      <c r="F9028" s="14"/>
    </row>
    <row r="9029" ht="22.5" customHeight="1">
      <c r="F9029" s="14"/>
    </row>
    <row r="9030" ht="22.5" customHeight="1">
      <c r="F9030" s="14"/>
    </row>
    <row r="9031" ht="22.5" customHeight="1">
      <c r="F9031" s="14"/>
    </row>
    <row r="9032" ht="22.5" customHeight="1">
      <c r="F9032" s="14"/>
    </row>
    <row r="9033" ht="22.5" customHeight="1">
      <c r="F9033" s="14"/>
    </row>
    <row r="9034" ht="22.5" customHeight="1">
      <c r="F9034" s="14"/>
    </row>
    <row r="9035" ht="22.5" customHeight="1">
      <c r="F9035" s="14"/>
    </row>
    <row r="9036" ht="22.5" customHeight="1">
      <c r="F9036" s="14"/>
    </row>
    <row r="9037" ht="22.5" customHeight="1">
      <c r="F9037" s="14"/>
    </row>
    <row r="9038" ht="22.5" customHeight="1">
      <c r="F9038" s="14"/>
    </row>
    <row r="9039" ht="22.5" customHeight="1">
      <c r="F9039" s="14"/>
    </row>
    <row r="9040" ht="22.5" customHeight="1">
      <c r="F9040" s="14"/>
    </row>
    <row r="9041" ht="22.5" customHeight="1">
      <c r="F9041" s="14"/>
    </row>
    <row r="9042" ht="22.5" customHeight="1">
      <c r="F9042" s="14"/>
    </row>
    <row r="9043" ht="22.5" customHeight="1">
      <c r="F9043" s="14"/>
    </row>
    <row r="9044" ht="22.5" customHeight="1">
      <c r="F9044" s="14"/>
    </row>
    <row r="9045" ht="22.5" customHeight="1">
      <c r="F9045" s="14"/>
    </row>
    <row r="9046" ht="22.5" customHeight="1">
      <c r="F9046" s="14"/>
    </row>
    <row r="9047" ht="22.5" customHeight="1">
      <c r="F9047" s="14"/>
    </row>
    <row r="9048" ht="22.5" customHeight="1">
      <c r="F9048" s="14"/>
    </row>
    <row r="9049" ht="22.5" customHeight="1">
      <c r="F9049" s="14"/>
    </row>
    <row r="9050" ht="22.5" customHeight="1">
      <c r="F9050" s="14"/>
    </row>
    <row r="9051" ht="22.5" customHeight="1">
      <c r="F9051" s="14"/>
    </row>
    <row r="9052" ht="22.5" customHeight="1">
      <c r="F9052" s="14"/>
    </row>
    <row r="9053" ht="22.5" customHeight="1">
      <c r="F9053" s="14"/>
    </row>
    <row r="9054" ht="22.5" customHeight="1">
      <c r="F9054" s="14"/>
    </row>
    <row r="9055" ht="22.5" customHeight="1">
      <c r="F9055" s="14"/>
    </row>
    <row r="9056" ht="22.5" customHeight="1">
      <c r="F9056" s="14"/>
    </row>
    <row r="9057" ht="22.5" customHeight="1">
      <c r="F9057" s="14"/>
    </row>
    <row r="9058" ht="22.5" customHeight="1">
      <c r="F9058" s="14"/>
    </row>
    <row r="9059" ht="22.5" customHeight="1">
      <c r="F9059" s="14"/>
    </row>
    <row r="9060" ht="22.5" customHeight="1">
      <c r="F9060" s="14"/>
    </row>
    <row r="9061" ht="22.5" customHeight="1">
      <c r="F9061" s="14"/>
    </row>
    <row r="9062" ht="22.5" customHeight="1">
      <c r="F9062" s="14"/>
    </row>
    <row r="9063" ht="22.5" customHeight="1">
      <c r="F9063" s="14"/>
    </row>
    <row r="9064" ht="22.5" customHeight="1">
      <c r="F9064" s="14"/>
    </row>
    <row r="9065" ht="22.5" customHeight="1">
      <c r="F9065" s="14"/>
    </row>
    <row r="9066" ht="22.5" customHeight="1">
      <c r="F9066" s="14"/>
    </row>
    <row r="9067" ht="22.5" customHeight="1">
      <c r="F9067" s="14"/>
    </row>
    <row r="9068" ht="22.5" customHeight="1">
      <c r="F9068" s="14"/>
    </row>
    <row r="9069" ht="22.5" customHeight="1">
      <c r="F9069" s="14"/>
    </row>
    <row r="9070" ht="22.5" customHeight="1">
      <c r="F9070" s="14"/>
    </row>
    <row r="9071" ht="22.5" customHeight="1">
      <c r="F9071" s="14"/>
    </row>
    <row r="9072" ht="22.5" customHeight="1">
      <c r="F9072" s="14"/>
    </row>
    <row r="9073" ht="22.5" customHeight="1">
      <c r="F9073" s="14"/>
    </row>
    <row r="9074" ht="22.5" customHeight="1">
      <c r="F9074" s="14"/>
    </row>
    <row r="9075" ht="22.5" customHeight="1">
      <c r="F9075" s="14"/>
    </row>
    <row r="9076" ht="22.5" customHeight="1">
      <c r="F9076" s="14"/>
    </row>
    <row r="9077" ht="22.5" customHeight="1">
      <c r="F9077" s="14"/>
    </row>
    <row r="9078" ht="22.5" customHeight="1">
      <c r="F9078" s="14"/>
    </row>
    <row r="9079" ht="22.5" customHeight="1">
      <c r="F9079" s="14"/>
    </row>
    <row r="9080" ht="22.5" customHeight="1">
      <c r="F9080" s="14"/>
    </row>
    <row r="9081" ht="22.5" customHeight="1">
      <c r="F9081" s="14"/>
    </row>
    <row r="9082" ht="22.5" customHeight="1">
      <c r="F9082" s="14"/>
    </row>
    <row r="9083" ht="22.5" customHeight="1">
      <c r="F9083" s="14"/>
    </row>
    <row r="9084" ht="22.5" customHeight="1">
      <c r="F9084" s="14"/>
    </row>
    <row r="9085" ht="22.5" customHeight="1">
      <c r="F9085" s="14"/>
    </row>
    <row r="9086" ht="22.5" customHeight="1">
      <c r="F9086" s="14"/>
    </row>
    <row r="9087" ht="22.5" customHeight="1">
      <c r="F9087" s="14"/>
    </row>
    <row r="9088" ht="22.5" customHeight="1">
      <c r="F9088" s="14"/>
    </row>
    <row r="9089" ht="22.5" customHeight="1">
      <c r="F9089" s="14"/>
    </row>
    <row r="9090" ht="22.5" customHeight="1">
      <c r="F9090" s="14"/>
    </row>
    <row r="9091" ht="22.5" customHeight="1">
      <c r="F9091" s="14"/>
    </row>
    <row r="9092" ht="22.5" customHeight="1">
      <c r="F9092" s="14"/>
    </row>
    <row r="9093" ht="22.5" customHeight="1">
      <c r="F9093" s="14"/>
    </row>
    <row r="9094" ht="22.5" customHeight="1">
      <c r="F9094" s="14"/>
    </row>
    <row r="9095" ht="22.5" customHeight="1">
      <c r="F9095" s="14"/>
    </row>
    <row r="9096" ht="22.5" customHeight="1">
      <c r="F9096" s="14"/>
    </row>
    <row r="9097" ht="22.5" customHeight="1">
      <c r="F9097" s="14"/>
    </row>
    <row r="9098" ht="22.5" customHeight="1">
      <c r="F9098" s="14"/>
    </row>
    <row r="9099" ht="22.5" customHeight="1">
      <c r="F9099" s="14"/>
    </row>
    <row r="9100" ht="22.5" customHeight="1">
      <c r="F9100" s="14"/>
    </row>
    <row r="9101" ht="22.5" customHeight="1">
      <c r="F9101" s="14"/>
    </row>
    <row r="9102" ht="22.5" customHeight="1">
      <c r="F9102" s="14"/>
    </row>
    <row r="9103" ht="22.5" customHeight="1">
      <c r="F9103" s="14"/>
    </row>
    <row r="9104" ht="22.5" customHeight="1">
      <c r="F9104" s="14"/>
    </row>
    <row r="9105" ht="22.5" customHeight="1">
      <c r="F9105" s="14"/>
    </row>
    <row r="9106" ht="22.5" customHeight="1">
      <c r="F9106" s="14"/>
    </row>
    <row r="9107" ht="22.5" customHeight="1">
      <c r="F9107" s="14"/>
    </row>
    <row r="9108" ht="22.5" customHeight="1">
      <c r="F9108" s="14"/>
    </row>
    <row r="9109" ht="22.5" customHeight="1">
      <c r="F9109" s="14"/>
    </row>
    <row r="9110" ht="22.5" customHeight="1">
      <c r="F9110" s="14"/>
    </row>
    <row r="9111" ht="22.5" customHeight="1">
      <c r="F9111" s="14"/>
    </row>
    <row r="9112" ht="22.5" customHeight="1">
      <c r="F9112" s="14"/>
    </row>
    <row r="9113" ht="22.5" customHeight="1">
      <c r="F9113" s="14"/>
    </row>
    <row r="9114" ht="22.5" customHeight="1">
      <c r="F9114" s="14"/>
    </row>
    <row r="9115" ht="22.5" customHeight="1">
      <c r="F9115" s="14"/>
    </row>
    <row r="9116" ht="22.5" customHeight="1">
      <c r="F9116" s="14"/>
    </row>
    <row r="9117" ht="22.5" customHeight="1">
      <c r="F9117" s="14"/>
    </row>
    <row r="9118" ht="22.5" customHeight="1">
      <c r="F9118" s="14"/>
    </row>
    <row r="9119" ht="22.5" customHeight="1">
      <c r="F9119" s="14"/>
    </row>
    <row r="9120" ht="22.5" customHeight="1">
      <c r="F9120" s="14"/>
    </row>
    <row r="9121" ht="22.5" customHeight="1">
      <c r="F9121" s="14"/>
    </row>
    <row r="9122" ht="22.5" customHeight="1">
      <c r="F9122" s="14"/>
    </row>
    <row r="9123" ht="22.5" customHeight="1">
      <c r="F9123" s="14"/>
    </row>
    <row r="9124" ht="22.5" customHeight="1">
      <c r="F9124" s="14"/>
    </row>
    <row r="9125" ht="22.5" customHeight="1">
      <c r="F9125" s="14"/>
    </row>
    <row r="9126" ht="22.5" customHeight="1">
      <c r="F9126" s="14"/>
    </row>
    <row r="9127" ht="22.5" customHeight="1">
      <c r="F9127" s="14"/>
    </row>
    <row r="9128" ht="22.5" customHeight="1">
      <c r="F9128" s="14"/>
    </row>
    <row r="9129" ht="22.5" customHeight="1">
      <c r="F9129" s="14"/>
    </row>
    <row r="9130" ht="22.5" customHeight="1">
      <c r="F9130" s="14"/>
    </row>
    <row r="9131" ht="22.5" customHeight="1">
      <c r="F9131" s="14"/>
    </row>
    <row r="9132" ht="22.5" customHeight="1">
      <c r="F9132" s="14"/>
    </row>
    <row r="9133" ht="22.5" customHeight="1">
      <c r="F9133" s="14"/>
    </row>
    <row r="9134" ht="22.5" customHeight="1">
      <c r="F9134" s="14"/>
    </row>
    <row r="9135" ht="22.5" customHeight="1">
      <c r="F9135" s="14"/>
    </row>
    <row r="9136" ht="22.5" customHeight="1">
      <c r="F9136" s="14"/>
    </row>
    <row r="9137" ht="22.5" customHeight="1">
      <c r="F9137" s="14"/>
    </row>
    <row r="9138" ht="22.5" customHeight="1">
      <c r="F9138" s="14"/>
    </row>
    <row r="9139" ht="22.5" customHeight="1">
      <c r="F9139" s="14"/>
    </row>
    <row r="9140" ht="22.5" customHeight="1">
      <c r="F9140" s="14"/>
    </row>
    <row r="9141" ht="22.5" customHeight="1">
      <c r="F9141" s="14"/>
    </row>
    <row r="9142" ht="22.5" customHeight="1">
      <c r="F9142" s="14"/>
    </row>
    <row r="9143" ht="22.5" customHeight="1">
      <c r="F9143" s="14"/>
    </row>
    <row r="9144" ht="22.5" customHeight="1">
      <c r="F9144" s="14"/>
    </row>
    <row r="9145" ht="22.5" customHeight="1">
      <c r="F9145" s="14"/>
    </row>
    <row r="9146" ht="22.5" customHeight="1">
      <c r="F9146" s="14"/>
    </row>
    <row r="9147" ht="22.5" customHeight="1">
      <c r="F9147" s="14"/>
    </row>
    <row r="9148" ht="22.5" customHeight="1">
      <c r="F9148" s="14"/>
    </row>
    <row r="9149" ht="22.5" customHeight="1">
      <c r="F9149" s="14"/>
    </row>
    <row r="9150" ht="22.5" customHeight="1">
      <c r="F9150" s="14"/>
    </row>
    <row r="9151" ht="22.5" customHeight="1">
      <c r="F9151" s="14"/>
    </row>
    <row r="9152" ht="22.5" customHeight="1">
      <c r="F9152" s="14"/>
    </row>
    <row r="9153" ht="22.5" customHeight="1">
      <c r="F9153" s="14"/>
    </row>
    <row r="9154" ht="22.5" customHeight="1">
      <c r="F9154" s="14"/>
    </row>
    <row r="9155" ht="22.5" customHeight="1">
      <c r="F9155" s="14"/>
    </row>
    <row r="9156" ht="22.5" customHeight="1">
      <c r="F9156" s="14"/>
    </row>
    <row r="9157" ht="22.5" customHeight="1">
      <c r="F9157" s="14"/>
    </row>
    <row r="9158" ht="22.5" customHeight="1">
      <c r="F9158" s="14"/>
    </row>
    <row r="9159" ht="22.5" customHeight="1">
      <c r="F9159" s="14"/>
    </row>
    <row r="9160" ht="22.5" customHeight="1">
      <c r="F9160" s="14"/>
    </row>
    <row r="9161" ht="22.5" customHeight="1">
      <c r="F9161" s="14"/>
    </row>
    <row r="9162" ht="22.5" customHeight="1">
      <c r="F9162" s="14"/>
    </row>
    <row r="9163" ht="22.5" customHeight="1">
      <c r="F9163" s="14"/>
    </row>
    <row r="9164" ht="22.5" customHeight="1">
      <c r="F9164" s="14"/>
    </row>
    <row r="9165" ht="22.5" customHeight="1">
      <c r="F9165" s="14"/>
    </row>
    <row r="9166" ht="22.5" customHeight="1">
      <c r="F9166" s="14"/>
    </row>
    <row r="9167" ht="22.5" customHeight="1">
      <c r="F9167" s="14"/>
    </row>
    <row r="9168" ht="22.5" customHeight="1">
      <c r="F9168" s="14"/>
    </row>
    <row r="9169" ht="22.5" customHeight="1">
      <c r="F9169" s="14"/>
    </row>
    <row r="9170" ht="22.5" customHeight="1">
      <c r="F9170" s="14"/>
    </row>
    <row r="9171" ht="22.5" customHeight="1">
      <c r="F9171" s="14"/>
    </row>
    <row r="9172" ht="22.5" customHeight="1">
      <c r="F9172" s="14"/>
    </row>
    <row r="9173" ht="22.5" customHeight="1">
      <c r="F9173" s="14"/>
    </row>
    <row r="9174" ht="22.5" customHeight="1">
      <c r="F9174" s="14"/>
    </row>
    <row r="9175" ht="22.5" customHeight="1">
      <c r="F9175" s="14"/>
    </row>
    <row r="9176" ht="22.5" customHeight="1">
      <c r="F9176" s="14"/>
    </row>
    <row r="9177" ht="22.5" customHeight="1">
      <c r="F9177" s="14"/>
    </row>
    <row r="9178" ht="22.5" customHeight="1">
      <c r="F9178" s="14"/>
    </row>
    <row r="9179" ht="22.5" customHeight="1">
      <c r="F9179" s="14"/>
    </row>
    <row r="9180" ht="22.5" customHeight="1">
      <c r="F9180" s="14"/>
    </row>
    <row r="9181" ht="22.5" customHeight="1">
      <c r="F9181" s="14"/>
    </row>
    <row r="9182" ht="22.5" customHeight="1">
      <c r="F9182" s="14"/>
    </row>
    <row r="9183" ht="22.5" customHeight="1">
      <c r="F9183" s="14"/>
    </row>
    <row r="9184" ht="22.5" customHeight="1">
      <c r="F9184" s="14"/>
    </row>
    <row r="9185" ht="22.5" customHeight="1">
      <c r="F9185" s="14"/>
    </row>
    <row r="9186" ht="22.5" customHeight="1">
      <c r="F9186" s="14"/>
    </row>
    <row r="9187" ht="22.5" customHeight="1">
      <c r="F9187" s="14"/>
    </row>
    <row r="9188" ht="22.5" customHeight="1">
      <c r="F9188" s="14"/>
    </row>
    <row r="9189" ht="22.5" customHeight="1">
      <c r="F9189" s="14"/>
    </row>
    <row r="9190" ht="22.5" customHeight="1">
      <c r="F9190" s="14"/>
    </row>
    <row r="9191" ht="22.5" customHeight="1">
      <c r="F9191" s="14"/>
    </row>
    <row r="9192" ht="22.5" customHeight="1">
      <c r="F9192" s="14"/>
    </row>
    <row r="9193" ht="22.5" customHeight="1">
      <c r="F9193" s="14"/>
    </row>
    <row r="9194" ht="22.5" customHeight="1">
      <c r="F9194" s="14"/>
    </row>
    <row r="9195" ht="22.5" customHeight="1">
      <c r="F9195" s="14"/>
    </row>
    <row r="9196" ht="22.5" customHeight="1">
      <c r="F9196" s="14"/>
    </row>
    <row r="9197" ht="22.5" customHeight="1">
      <c r="F9197" s="14"/>
    </row>
    <row r="9198" ht="22.5" customHeight="1">
      <c r="F9198" s="14"/>
    </row>
    <row r="9199" ht="22.5" customHeight="1">
      <c r="F9199" s="14"/>
    </row>
    <row r="9200" ht="22.5" customHeight="1">
      <c r="F9200" s="14"/>
    </row>
    <row r="9201" ht="22.5" customHeight="1">
      <c r="F9201" s="14"/>
    </row>
    <row r="9202" ht="22.5" customHeight="1">
      <c r="F9202" s="14"/>
    </row>
    <row r="9203" ht="22.5" customHeight="1">
      <c r="F9203" s="14"/>
    </row>
    <row r="9204" ht="22.5" customHeight="1">
      <c r="F9204" s="14"/>
    </row>
    <row r="9205" ht="22.5" customHeight="1">
      <c r="F9205" s="14"/>
    </row>
    <row r="9206" ht="22.5" customHeight="1">
      <c r="F9206" s="14"/>
    </row>
    <row r="9207" ht="22.5" customHeight="1">
      <c r="F9207" s="14"/>
    </row>
    <row r="9208" ht="22.5" customHeight="1">
      <c r="F9208" s="14"/>
    </row>
    <row r="9209" ht="22.5" customHeight="1">
      <c r="F9209" s="14"/>
    </row>
    <row r="9210" ht="22.5" customHeight="1">
      <c r="F9210" s="14"/>
    </row>
    <row r="9211" ht="22.5" customHeight="1">
      <c r="F9211" s="14"/>
    </row>
    <row r="9212" ht="22.5" customHeight="1">
      <c r="F9212" s="14"/>
    </row>
    <row r="9213" ht="22.5" customHeight="1">
      <c r="F9213" s="14"/>
    </row>
    <row r="9214" ht="22.5" customHeight="1">
      <c r="F9214" s="14"/>
    </row>
    <row r="9215" ht="22.5" customHeight="1">
      <c r="F9215" s="14"/>
    </row>
    <row r="9216" ht="22.5" customHeight="1">
      <c r="F9216" s="14"/>
    </row>
    <row r="9217" ht="22.5" customHeight="1">
      <c r="F9217" s="14"/>
    </row>
    <row r="9218" ht="22.5" customHeight="1">
      <c r="F9218" s="14"/>
    </row>
    <row r="9219" ht="22.5" customHeight="1">
      <c r="F9219" s="14"/>
    </row>
    <row r="9220" ht="22.5" customHeight="1">
      <c r="F9220" s="14"/>
    </row>
    <row r="9221" ht="22.5" customHeight="1">
      <c r="F9221" s="14"/>
    </row>
    <row r="9222" ht="22.5" customHeight="1">
      <c r="F9222" s="14"/>
    </row>
    <row r="9223" ht="22.5" customHeight="1">
      <c r="F9223" s="14"/>
    </row>
    <row r="9224" ht="22.5" customHeight="1">
      <c r="F9224" s="14"/>
    </row>
    <row r="9225" ht="22.5" customHeight="1">
      <c r="F9225" s="14"/>
    </row>
    <row r="9226" ht="22.5" customHeight="1">
      <c r="F9226" s="14"/>
    </row>
    <row r="9227" ht="22.5" customHeight="1">
      <c r="F9227" s="14"/>
    </row>
    <row r="9228" ht="22.5" customHeight="1">
      <c r="F9228" s="14"/>
    </row>
    <row r="9229" ht="22.5" customHeight="1">
      <c r="F9229" s="14"/>
    </row>
    <row r="9230" ht="22.5" customHeight="1">
      <c r="F9230" s="14"/>
    </row>
    <row r="9231" ht="22.5" customHeight="1">
      <c r="F9231" s="14"/>
    </row>
    <row r="9232" ht="22.5" customHeight="1">
      <c r="F9232" s="14"/>
    </row>
    <row r="9233" ht="22.5" customHeight="1">
      <c r="F9233" s="14"/>
    </row>
    <row r="9234" ht="22.5" customHeight="1">
      <c r="F9234" s="14"/>
    </row>
    <row r="9235" ht="22.5" customHeight="1">
      <c r="F9235" s="14"/>
    </row>
    <row r="9236" ht="22.5" customHeight="1">
      <c r="F9236" s="14"/>
    </row>
    <row r="9237" ht="22.5" customHeight="1">
      <c r="F9237" s="14"/>
    </row>
    <row r="9238" ht="22.5" customHeight="1">
      <c r="F9238" s="14"/>
    </row>
    <row r="9239" ht="22.5" customHeight="1">
      <c r="F9239" s="14"/>
    </row>
    <row r="9240" ht="22.5" customHeight="1">
      <c r="F9240" s="14"/>
    </row>
    <row r="9241" ht="22.5" customHeight="1">
      <c r="F9241" s="14"/>
    </row>
    <row r="9242" ht="22.5" customHeight="1">
      <c r="F9242" s="14"/>
    </row>
    <row r="9243" ht="22.5" customHeight="1">
      <c r="F9243" s="14"/>
    </row>
    <row r="9244" ht="22.5" customHeight="1">
      <c r="F9244" s="14"/>
    </row>
    <row r="9245" ht="22.5" customHeight="1">
      <c r="F9245" s="14"/>
    </row>
    <row r="9246" ht="22.5" customHeight="1">
      <c r="F9246" s="14"/>
    </row>
    <row r="9247" ht="22.5" customHeight="1">
      <c r="F9247" s="14"/>
    </row>
    <row r="9248" ht="22.5" customHeight="1">
      <c r="F9248" s="14"/>
    </row>
    <row r="9249" ht="22.5" customHeight="1">
      <c r="F9249" s="14"/>
    </row>
    <row r="9250" ht="22.5" customHeight="1">
      <c r="F9250" s="14"/>
    </row>
    <row r="9251" ht="22.5" customHeight="1">
      <c r="F9251" s="14"/>
    </row>
    <row r="9252" ht="22.5" customHeight="1">
      <c r="F9252" s="14"/>
    </row>
    <row r="9253" ht="22.5" customHeight="1">
      <c r="F9253" s="14"/>
    </row>
    <row r="9254" ht="22.5" customHeight="1">
      <c r="F9254" s="14"/>
    </row>
    <row r="9255" ht="22.5" customHeight="1">
      <c r="F9255" s="14"/>
    </row>
    <row r="9256" ht="22.5" customHeight="1">
      <c r="F9256" s="14"/>
    </row>
    <row r="9257" ht="22.5" customHeight="1">
      <c r="F9257" s="14"/>
    </row>
    <row r="9258" ht="22.5" customHeight="1">
      <c r="F9258" s="14"/>
    </row>
    <row r="9259" ht="22.5" customHeight="1">
      <c r="F9259" s="14"/>
    </row>
    <row r="9260" ht="22.5" customHeight="1">
      <c r="F9260" s="14"/>
    </row>
    <row r="9261" ht="22.5" customHeight="1">
      <c r="F9261" s="14"/>
    </row>
    <row r="9262" ht="22.5" customHeight="1">
      <c r="F9262" s="14"/>
    </row>
    <row r="9263" ht="22.5" customHeight="1">
      <c r="F9263" s="14"/>
    </row>
    <row r="9264" ht="22.5" customHeight="1">
      <c r="F9264" s="14"/>
    </row>
    <row r="9265" ht="22.5" customHeight="1">
      <c r="F9265" s="14"/>
    </row>
    <row r="9266" ht="22.5" customHeight="1">
      <c r="F9266" s="14"/>
    </row>
    <row r="9267" ht="22.5" customHeight="1">
      <c r="F9267" s="14"/>
    </row>
    <row r="9268" ht="22.5" customHeight="1">
      <c r="F9268" s="14"/>
    </row>
    <row r="9269" ht="22.5" customHeight="1">
      <c r="F9269" s="14"/>
    </row>
    <row r="9270" ht="22.5" customHeight="1">
      <c r="F9270" s="14"/>
    </row>
    <row r="9271" ht="22.5" customHeight="1">
      <c r="F9271" s="14"/>
    </row>
    <row r="9272" ht="22.5" customHeight="1">
      <c r="F9272" s="14"/>
    </row>
    <row r="9273" ht="22.5" customHeight="1">
      <c r="F9273" s="14"/>
    </row>
    <row r="9274" ht="22.5" customHeight="1">
      <c r="F9274" s="14"/>
    </row>
    <row r="9275" ht="22.5" customHeight="1">
      <c r="F9275" s="14"/>
    </row>
    <row r="9276" ht="22.5" customHeight="1">
      <c r="F9276" s="14"/>
    </row>
    <row r="9277" ht="22.5" customHeight="1">
      <c r="F9277" s="14"/>
    </row>
    <row r="9278" ht="22.5" customHeight="1">
      <c r="F9278" s="14"/>
    </row>
    <row r="9279" ht="22.5" customHeight="1">
      <c r="F9279" s="14"/>
    </row>
    <row r="9280" ht="22.5" customHeight="1">
      <c r="F9280" s="14"/>
    </row>
    <row r="9281" ht="22.5" customHeight="1">
      <c r="F9281" s="14"/>
    </row>
    <row r="9282" ht="22.5" customHeight="1">
      <c r="F9282" s="14"/>
    </row>
    <row r="9283" ht="22.5" customHeight="1">
      <c r="F9283" s="14"/>
    </row>
    <row r="9284" ht="22.5" customHeight="1">
      <c r="F9284" s="14"/>
    </row>
    <row r="9285" ht="22.5" customHeight="1">
      <c r="F9285" s="14"/>
    </row>
    <row r="9286" ht="22.5" customHeight="1">
      <c r="F9286" s="14"/>
    </row>
    <row r="9287" ht="22.5" customHeight="1">
      <c r="F9287" s="14"/>
    </row>
    <row r="9288" ht="22.5" customHeight="1">
      <c r="F9288" s="14"/>
    </row>
    <row r="9289" ht="22.5" customHeight="1">
      <c r="F9289" s="14"/>
    </row>
    <row r="9290" ht="22.5" customHeight="1">
      <c r="F9290" s="14"/>
    </row>
    <row r="9291" ht="22.5" customHeight="1">
      <c r="F9291" s="14"/>
    </row>
    <row r="9292" ht="22.5" customHeight="1">
      <c r="F9292" s="14"/>
    </row>
    <row r="9293" ht="22.5" customHeight="1">
      <c r="F9293" s="14"/>
    </row>
    <row r="9294" ht="22.5" customHeight="1">
      <c r="F9294" s="14"/>
    </row>
    <row r="9295" ht="22.5" customHeight="1">
      <c r="F9295" s="14"/>
    </row>
    <row r="9296" ht="22.5" customHeight="1">
      <c r="F9296" s="14"/>
    </row>
    <row r="9297" ht="22.5" customHeight="1">
      <c r="F9297" s="14"/>
    </row>
    <row r="9298" ht="22.5" customHeight="1">
      <c r="F9298" s="14"/>
    </row>
    <row r="9299" ht="22.5" customHeight="1">
      <c r="F9299" s="14"/>
    </row>
    <row r="9300" ht="22.5" customHeight="1">
      <c r="F9300" s="14"/>
    </row>
    <row r="9301" ht="22.5" customHeight="1">
      <c r="F9301" s="14"/>
    </row>
    <row r="9302" ht="22.5" customHeight="1">
      <c r="F9302" s="14"/>
    </row>
    <row r="9303" ht="22.5" customHeight="1">
      <c r="F9303" s="14"/>
    </row>
    <row r="9304" ht="22.5" customHeight="1">
      <c r="F9304" s="14"/>
    </row>
    <row r="9305" ht="22.5" customHeight="1">
      <c r="F9305" s="14"/>
    </row>
    <row r="9306" ht="22.5" customHeight="1">
      <c r="F9306" s="14"/>
    </row>
    <row r="9307" ht="22.5" customHeight="1">
      <c r="F9307" s="14"/>
    </row>
    <row r="9308" ht="22.5" customHeight="1">
      <c r="F9308" s="14"/>
    </row>
    <row r="9309" ht="22.5" customHeight="1">
      <c r="F9309" s="14"/>
    </row>
    <row r="9310" ht="22.5" customHeight="1">
      <c r="F9310" s="14"/>
    </row>
    <row r="9311" ht="22.5" customHeight="1">
      <c r="F9311" s="14"/>
    </row>
    <row r="9312" ht="22.5" customHeight="1">
      <c r="F9312" s="14"/>
    </row>
    <row r="9313" ht="22.5" customHeight="1">
      <c r="F9313" s="14"/>
    </row>
    <row r="9314" ht="22.5" customHeight="1">
      <c r="F9314" s="14"/>
    </row>
    <row r="9315" ht="22.5" customHeight="1">
      <c r="F9315" s="14"/>
    </row>
    <row r="9316" ht="22.5" customHeight="1">
      <c r="F9316" s="14"/>
    </row>
    <row r="9317" ht="22.5" customHeight="1">
      <c r="F9317" s="14"/>
    </row>
    <row r="9318" ht="22.5" customHeight="1">
      <c r="F9318" s="14"/>
    </row>
    <row r="9319" ht="22.5" customHeight="1">
      <c r="F9319" s="14"/>
    </row>
    <row r="9320" ht="22.5" customHeight="1">
      <c r="F9320" s="14"/>
    </row>
    <row r="9321" ht="22.5" customHeight="1">
      <c r="F9321" s="14"/>
    </row>
    <row r="9322" ht="22.5" customHeight="1">
      <c r="F9322" s="14"/>
    </row>
    <row r="9323" ht="22.5" customHeight="1">
      <c r="F9323" s="14"/>
    </row>
    <row r="9324" ht="22.5" customHeight="1">
      <c r="F9324" s="14"/>
    </row>
    <row r="9325" ht="22.5" customHeight="1">
      <c r="F9325" s="14"/>
    </row>
    <row r="9326" ht="22.5" customHeight="1">
      <c r="F9326" s="14"/>
    </row>
    <row r="9327" ht="22.5" customHeight="1">
      <c r="F9327" s="14"/>
    </row>
    <row r="9328" ht="22.5" customHeight="1">
      <c r="F9328" s="14"/>
    </row>
    <row r="9329" ht="22.5" customHeight="1">
      <c r="F9329" s="14"/>
    </row>
    <row r="9330" ht="22.5" customHeight="1">
      <c r="F9330" s="14"/>
    </row>
    <row r="9331" ht="22.5" customHeight="1">
      <c r="F9331" s="14"/>
    </row>
    <row r="9332" ht="22.5" customHeight="1">
      <c r="F9332" s="14"/>
    </row>
    <row r="9333" ht="22.5" customHeight="1">
      <c r="F9333" s="14"/>
    </row>
    <row r="9334" ht="22.5" customHeight="1">
      <c r="F9334" s="14"/>
    </row>
    <row r="9335" ht="22.5" customHeight="1">
      <c r="F9335" s="14"/>
    </row>
    <row r="9336" ht="22.5" customHeight="1">
      <c r="F9336" s="14"/>
    </row>
    <row r="9337" ht="22.5" customHeight="1">
      <c r="F9337" s="14"/>
    </row>
    <row r="9338" ht="22.5" customHeight="1">
      <c r="F9338" s="14"/>
    </row>
    <row r="9339" ht="22.5" customHeight="1">
      <c r="F9339" s="14"/>
    </row>
    <row r="9340" ht="22.5" customHeight="1">
      <c r="F9340" s="14"/>
    </row>
    <row r="9341" ht="22.5" customHeight="1">
      <c r="F9341" s="14"/>
    </row>
    <row r="9342" ht="22.5" customHeight="1">
      <c r="F9342" s="14"/>
    </row>
    <row r="9343" ht="22.5" customHeight="1">
      <c r="F9343" s="14"/>
    </row>
    <row r="9344" ht="22.5" customHeight="1">
      <c r="F9344" s="14"/>
    </row>
    <row r="9345" ht="22.5" customHeight="1">
      <c r="F9345" s="14"/>
    </row>
    <row r="9346" ht="22.5" customHeight="1">
      <c r="F9346" s="14"/>
    </row>
    <row r="9347" ht="22.5" customHeight="1">
      <c r="F9347" s="14"/>
    </row>
    <row r="9348" ht="22.5" customHeight="1">
      <c r="F9348" s="14"/>
    </row>
    <row r="9349" ht="22.5" customHeight="1">
      <c r="F9349" s="14"/>
    </row>
    <row r="9350" ht="22.5" customHeight="1">
      <c r="F9350" s="14"/>
    </row>
    <row r="9351" ht="22.5" customHeight="1">
      <c r="F9351" s="14"/>
    </row>
    <row r="9352" ht="22.5" customHeight="1">
      <c r="F9352" s="14"/>
    </row>
    <row r="9353" ht="22.5" customHeight="1">
      <c r="F9353" s="14"/>
    </row>
    <row r="9354" ht="22.5" customHeight="1">
      <c r="F9354" s="14"/>
    </row>
    <row r="9355" ht="22.5" customHeight="1">
      <c r="F9355" s="14"/>
    </row>
    <row r="9356" ht="22.5" customHeight="1">
      <c r="F9356" s="14"/>
    </row>
    <row r="9357" ht="22.5" customHeight="1">
      <c r="F9357" s="14"/>
    </row>
    <row r="9358" ht="22.5" customHeight="1">
      <c r="F9358" s="14"/>
    </row>
    <row r="9359" ht="22.5" customHeight="1">
      <c r="F9359" s="14"/>
    </row>
    <row r="9360" ht="22.5" customHeight="1">
      <c r="F9360" s="14"/>
    </row>
    <row r="9361" ht="22.5" customHeight="1">
      <c r="F9361" s="14"/>
    </row>
    <row r="9362" ht="22.5" customHeight="1">
      <c r="F9362" s="14"/>
    </row>
    <row r="9363" ht="22.5" customHeight="1">
      <c r="F9363" s="14"/>
    </row>
    <row r="9364" ht="22.5" customHeight="1">
      <c r="F9364" s="14"/>
    </row>
    <row r="9365" ht="22.5" customHeight="1">
      <c r="F9365" s="14"/>
    </row>
    <row r="9366" ht="22.5" customHeight="1">
      <c r="F9366" s="14"/>
    </row>
    <row r="9367" ht="22.5" customHeight="1">
      <c r="F9367" s="14"/>
    </row>
    <row r="9368" ht="22.5" customHeight="1">
      <c r="F9368" s="14"/>
    </row>
    <row r="9369" ht="22.5" customHeight="1">
      <c r="F9369" s="14"/>
    </row>
    <row r="9370" ht="22.5" customHeight="1">
      <c r="F9370" s="14"/>
    </row>
    <row r="9371" ht="22.5" customHeight="1">
      <c r="F9371" s="14"/>
    </row>
    <row r="9372" ht="22.5" customHeight="1">
      <c r="F9372" s="14"/>
    </row>
    <row r="9373" ht="22.5" customHeight="1">
      <c r="F9373" s="14"/>
    </row>
    <row r="9374" ht="22.5" customHeight="1">
      <c r="F9374" s="14"/>
    </row>
    <row r="9375" ht="22.5" customHeight="1">
      <c r="F9375" s="14"/>
    </row>
    <row r="9376" ht="22.5" customHeight="1">
      <c r="F9376" s="14"/>
    </row>
    <row r="9377" ht="22.5" customHeight="1">
      <c r="F9377" s="14"/>
    </row>
    <row r="9378" ht="22.5" customHeight="1">
      <c r="F9378" s="14"/>
    </row>
    <row r="9379" ht="22.5" customHeight="1">
      <c r="F9379" s="14"/>
    </row>
    <row r="9380" ht="22.5" customHeight="1">
      <c r="F9380" s="14"/>
    </row>
    <row r="9381" ht="22.5" customHeight="1">
      <c r="F9381" s="14"/>
    </row>
    <row r="9382" ht="22.5" customHeight="1">
      <c r="F9382" s="14"/>
    </row>
    <row r="9383" ht="22.5" customHeight="1">
      <c r="F9383" s="14"/>
    </row>
    <row r="9384" ht="22.5" customHeight="1">
      <c r="F9384" s="14"/>
    </row>
    <row r="9385" ht="22.5" customHeight="1">
      <c r="F9385" s="14"/>
    </row>
    <row r="9386" ht="22.5" customHeight="1">
      <c r="F9386" s="14"/>
    </row>
    <row r="9387" ht="22.5" customHeight="1">
      <c r="F9387" s="14"/>
    </row>
    <row r="9388" ht="22.5" customHeight="1">
      <c r="F9388" s="14"/>
    </row>
    <row r="9389" ht="22.5" customHeight="1">
      <c r="F9389" s="14"/>
    </row>
    <row r="9390" ht="22.5" customHeight="1">
      <c r="F9390" s="14"/>
    </row>
    <row r="9391" ht="22.5" customHeight="1">
      <c r="F9391" s="14"/>
    </row>
    <row r="9392" ht="22.5" customHeight="1">
      <c r="F9392" s="14"/>
    </row>
    <row r="9393" ht="22.5" customHeight="1">
      <c r="F9393" s="14"/>
    </row>
    <row r="9394" ht="22.5" customHeight="1">
      <c r="F9394" s="14"/>
    </row>
    <row r="9395" ht="22.5" customHeight="1">
      <c r="F9395" s="14"/>
    </row>
    <row r="9396" ht="22.5" customHeight="1">
      <c r="F9396" s="14"/>
    </row>
    <row r="9397" ht="22.5" customHeight="1">
      <c r="F9397" s="14"/>
    </row>
    <row r="9398" ht="22.5" customHeight="1">
      <c r="F9398" s="14"/>
    </row>
    <row r="9399" ht="22.5" customHeight="1">
      <c r="F9399" s="14"/>
    </row>
    <row r="9400" ht="22.5" customHeight="1">
      <c r="F9400" s="14"/>
    </row>
    <row r="9401" ht="22.5" customHeight="1">
      <c r="F9401" s="14"/>
    </row>
    <row r="9402" ht="22.5" customHeight="1">
      <c r="F9402" s="14"/>
    </row>
    <row r="9403" ht="22.5" customHeight="1">
      <c r="F9403" s="14"/>
    </row>
    <row r="9404" ht="22.5" customHeight="1">
      <c r="F9404" s="14"/>
    </row>
    <row r="9405" ht="22.5" customHeight="1">
      <c r="F9405" s="14"/>
    </row>
    <row r="9406" ht="22.5" customHeight="1">
      <c r="F9406" s="14"/>
    </row>
    <row r="9407" ht="22.5" customHeight="1">
      <c r="F9407" s="14"/>
    </row>
    <row r="9408" ht="22.5" customHeight="1">
      <c r="F9408" s="14"/>
    </row>
    <row r="9409" ht="22.5" customHeight="1">
      <c r="F9409" s="14"/>
    </row>
    <row r="9410" ht="22.5" customHeight="1">
      <c r="F9410" s="14"/>
    </row>
    <row r="9411" ht="22.5" customHeight="1">
      <c r="F9411" s="14"/>
    </row>
    <row r="9412" ht="22.5" customHeight="1">
      <c r="F9412" s="14"/>
    </row>
    <row r="9413" ht="22.5" customHeight="1">
      <c r="F9413" s="14"/>
    </row>
    <row r="9414" ht="22.5" customHeight="1">
      <c r="F9414" s="14"/>
    </row>
    <row r="9415" ht="22.5" customHeight="1">
      <c r="F9415" s="14"/>
    </row>
    <row r="9416" ht="22.5" customHeight="1">
      <c r="F9416" s="14"/>
    </row>
    <row r="9417" ht="22.5" customHeight="1">
      <c r="F9417" s="14"/>
    </row>
    <row r="9418" ht="22.5" customHeight="1">
      <c r="F9418" s="14"/>
    </row>
    <row r="9419" ht="22.5" customHeight="1">
      <c r="F9419" s="14"/>
    </row>
    <row r="9420" ht="22.5" customHeight="1">
      <c r="F9420" s="14"/>
    </row>
    <row r="9421" ht="22.5" customHeight="1">
      <c r="F9421" s="14"/>
    </row>
    <row r="9422" ht="22.5" customHeight="1">
      <c r="F9422" s="14"/>
    </row>
    <row r="9423" ht="22.5" customHeight="1">
      <c r="F9423" s="14"/>
    </row>
    <row r="9424" ht="22.5" customHeight="1">
      <c r="F9424" s="14"/>
    </row>
    <row r="9425" ht="22.5" customHeight="1">
      <c r="F9425" s="14"/>
    </row>
    <row r="9426" ht="22.5" customHeight="1">
      <c r="F9426" s="14"/>
    </row>
    <row r="9427" ht="22.5" customHeight="1">
      <c r="F9427" s="14"/>
    </row>
    <row r="9428" ht="22.5" customHeight="1">
      <c r="F9428" s="14"/>
    </row>
    <row r="9429" ht="22.5" customHeight="1">
      <c r="F9429" s="14"/>
    </row>
    <row r="9430" ht="22.5" customHeight="1">
      <c r="F9430" s="14"/>
    </row>
    <row r="9431" ht="22.5" customHeight="1">
      <c r="F9431" s="14"/>
    </row>
    <row r="9432" ht="22.5" customHeight="1">
      <c r="F9432" s="14"/>
    </row>
    <row r="9433" ht="22.5" customHeight="1">
      <c r="F9433" s="14"/>
    </row>
    <row r="9434" ht="22.5" customHeight="1">
      <c r="F9434" s="14"/>
    </row>
    <row r="9435" ht="22.5" customHeight="1">
      <c r="F9435" s="14"/>
    </row>
    <row r="9436" ht="22.5" customHeight="1">
      <c r="F9436" s="14"/>
    </row>
    <row r="9437" ht="22.5" customHeight="1">
      <c r="F9437" s="14"/>
    </row>
    <row r="9438" ht="22.5" customHeight="1">
      <c r="F9438" s="14"/>
    </row>
    <row r="9439" ht="22.5" customHeight="1">
      <c r="F9439" s="14"/>
    </row>
    <row r="9440" ht="22.5" customHeight="1">
      <c r="F9440" s="14"/>
    </row>
    <row r="9441" ht="22.5" customHeight="1">
      <c r="F9441" s="14"/>
    </row>
    <row r="9442" ht="22.5" customHeight="1">
      <c r="F9442" s="14"/>
    </row>
    <row r="9443" ht="22.5" customHeight="1">
      <c r="F9443" s="14"/>
    </row>
    <row r="9444" ht="22.5" customHeight="1">
      <c r="F9444" s="14"/>
    </row>
    <row r="9445" ht="22.5" customHeight="1">
      <c r="F9445" s="14"/>
    </row>
    <row r="9446" ht="22.5" customHeight="1">
      <c r="F9446" s="14"/>
    </row>
    <row r="9447" ht="22.5" customHeight="1">
      <c r="F9447" s="14"/>
    </row>
    <row r="9448" ht="22.5" customHeight="1">
      <c r="F9448" s="14"/>
    </row>
    <row r="9449" ht="22.5" customHeight="1">
      <c r="F9449" s="14"/>
    </row>
    <row r="9450" ht="22.5" customHeight="1">
      <c r="F9450" s="14"/>
    </row>
    <row r="9451" ht="22.5" customHeight="1">
      <c r="F9451" s="14"/>
    </row>
    <row r="9452" ht="22.5" customHeight="1">
      <c r="F9452" s="14"/>
    </row>
    <row r="9453" ht="22.5" customHeight="1">
      <c r="F9453" s="14"/>
    </row>
    <row r="9454" ht="22.5" customHeight="1">
      <c r="F9454" s="14"/>
    </row>
    <row r="9455" ht="22.5" customHeight="1">
      <c r="F9455" s="14"/>
    </row>
    <row r="9456" ht="22.5" customHeight="1">
      <c r="F9456" s="14"/>
    </row>
    <row r="9457" ht="22.5" customHeight="1">
      <c r="F9457" s="14"/>
    </row>
    <row r="9458" ht="22.5" customHeight="1">
      <c r="F9458" s="14"/>
    </row>
    <row r="9459" ht="22.5" customHeight="1">
      <c r="F9459" s="14"/>
    </row>
    <row r="9460" ht="22.5" customHeight="1">
      <c r="F9460" s="14"/>
    </row>
    <row r="9461" ht="22.5" customHeight="1">
      <c r="F9461" s="14"/>
    </row>
    <row r="9462" ht="22.5" customHeight="1">
      <c r="F9462" s="14"/>
    </row>
    <row r="9463" ht="22.5" customHeight="1">
      <c r="F9463" s="14"/>
    </row>
    <row r="9464" ht="22.5" customHeight="1">
      <c r="F9464" s="14"/>
    </row>
    <row r="9465" ht="22.5" customHeight="1">
      <c r="F9465" s="14"/>
    </row>
    <row r="9466" ht="22.5" customHeight="1">
      <c r="F9466" s="14"/>
    </row>
    <row r="9467" ht="22.5" customHeight="1">
      <c r="F9467" s="14"/>
    </row>
    <row r="9468" ht="22.5" customHeight="1">
      <c r="F9468" s="14"/>
    </row>
    <row r="9469" ht="22.5" customHeight="1">
      <c r="F9469" s="14"/>
    </row>
    <row r="9470" ht="22.5" customHeight="1">
      <c r="F9470" s="14"/>
    </row>
    <row r="9471" ht="22.5" customHeight="1">
      <c r="F9471" s="14"/>
    </row>
    <row r="9472" ht="22.5" customHeight="1">
      <c r="F9472" s="14"/>
    </row>
    <row r="9473" ht="22.5" customHeight="1">
      <c r="F9473" s="14"/>
    </row>
    <row r="9474" ht="22.5" customHeight="1">
      <c r="F9474" s="14"/>
    </row>
    <row r="9475" ht="22.5" customHeight="1">
      <c r="F9475" s="14"/>
    </row>
    <row r="9476" ht="22.5" customHeight="1">
      <c r="F9476" s="14"/>
    </row>
    <row r="9477" ht="22.5" customHeight="1">
      <c r="F9477" s="14"/>
    </row>
    <row r="9478" ht="22.5" customHeight="1">
      <c r="F9478" s="14"/>
    </row>
    <row r="9479" ht="22.5" customHeight="1">
      <c r="F9479" s="14"/>
    </row>
    <row r="9480" ht="22.5" customHeight="1">
      <c r="F9480" s="14"/>
    </row>
    <row r="9481" ht="22.5" customHeight="1">
      <c r="F9481" s="14"/>
    </row>
    <row r="9482" ht="22.5" customHeight="1">
      <c r="F9482" s="14"/>
    </row>
    <row r="9483" ht="22.5" customHeight="1">
      <c r="F9483" s="14"/>
    </row>
    <row r="9484" ht="22.5" customHeight="1">
      <c r="F9484" s="14"/>
    </row>
    <row r="9485" ht="22.5" customHeight="1">
      <c r="F9485" s="14"/>
    </row>
    <row r="9486" ht="22.5" customHeight="1">
      <c r="F9486" s="14"/>
    </row>
    <row r="9487" ht="22.5" customHeight="1">
      <c r="F9487" s="14"/>
    </row>
    <row r="9488" ht="22.5" customHeight="1">
      <c r="F9488" s="14"/>
    </row>
    <row r="9489" ht="22.5" customHeight="1">
      <c r="F9489" s="14"/>
    </row>
    <row r="9490" ht="22.5" customHeight="1">
      <c r="F9490" s="14"/>
    </row>
    <row r="9491" ht="22.5" customHeight="1">
      <c r="F9491" s="14"/>
    </row>
    <row r="9492" ht="22.5" customHeight="1">
      <c r="F9492" s="14"/>
    </row>
    <row r="9493" ht="22.5" customHeight="1">
      <c r="F9493" s="14"/>
    </row>
    <row r="9494" ht="22.5" customHeight="1">
      <c r="F9494" s="14"/>
    </row>
    <row r="9495" ht="22.5" customHeight="1">
      <c r="F9495" s="14"/>
    </row>
    <row r="9496" ht="22.5" customHeight="1">
      <c r="F9496" s="14"/>
    </row>
    <row r="9497" ht="22.5" customHeight="1">
      <c r="F9497" s="14"/>
    </row>
    <row r="9498" ht="22.5" customHeight="1">
      <c r="F9498" s="14"/>
    </row>
    <row r="9499" ht="22.5" customHeight="1">
      <c r="F9499" s="14"/>
    </row>
    <row r="9500" ht="22.5" customHeight="1">
      <c r="F9500" s="14"/>
    </row>
    <row r="9501" ht="22.5" customHeight="1">
      <c r="F9501" s="14"/>
    </row>
    <row r="9502" ht="22.5" customHeight="1">
      <c r="F9502" s="14"/>
    </row>
    <row r="9503" ht="22.5" customHeight="1">
      <c r="F9503" s="14"/>
    </row>
    <row r="9504" ht="22.5" customHeight="1">
      <c r="F9504" s="14"/>
    </row>
    <row r="9505" ht="22.5" customHeight="1">
      <c r="F9505" s="14"/>
    </row>
    <row r="9506" ht="22.5" customHeight="1">
      <c r="F9506" s="14"/>
    </row>
    <row r="9507" ht="22.5" customHeight="1">
      <c r="F9507" s="14"/>
    </row>
    <row r="9508" ht="22.5" customHeight="1">
      <c r="F9508" s="14"/>
    </row>
    <row r="9509" ht="22.5" customHeight="1">
      <c r="F9509" s="14"/>
    </row>
    <row r="9510" ht="22.5" customHeight="1">
      <c r="F9510" s="14"/>
    </row>
    <row r="9511" ht="22.5" customHeight="1">
      <c r="F9511" s="14"/>
    </row>
    <row r="9512" ht="22.5" customHeight="1">
      <c r="F9512" s="14"/>
    </row>
    <row r="9513" ht="22.5" customHeight="1">
      <c r="F9513" s="14"/>
    </row>
    <row r="9514" ht="22.5" customHeight="1">
      <c r="F9514" s="14"/>
    </row>
    <row r="9515" ht="22.5" customHeight="1">
      <c r="F9515" s="14"/>
    </row>
    <row r="9516" ht="22.5" customHeight="1">
      <c r="F9516" s="14"/>
    </row>
    <row r="9517" ht="22.5" customHeight="1">
      <c r="F9517" s="14"/>
    </row>
    <row r="9518" ht="22.5" customHeight="1">
      <c r="F9518" s="14"/>
    </row>
    <row r="9519" ht="22.5" customHeight="1">
      <c r="F9519" s="14"/>
    </row>
    <row r="9520" ht="22.5" customHeight="1">
      <c r="F9520" s="14"/>
    </row>
    <row r="9521" ht="22.5" customHeight="1">
      <c r="F9521" s="14"/>
    </row>
    <row r="9522" ht="22.5" customHeight="1">
      <c r="F9522" s="14"/>
    </row>
    <row r="9523" ht="22.5" customHeight="1">
      <c r="F9523" s="14"/>
    </row>
    <row r="9524" ht="22.5" customHeight="1">
      <c r="F9524" s="14"/>
    </row>
    <row r="9525" ht="22.5" customHeight="1">
      <c r="F9525" s="14"/>
    </row>
    <row r="9526" ht="22.5" customHeight="1">
      <c r="F9526" s="14"/>
    </row>
    <row r="9527" ht="22.5" customHeight="1">
      <c r="F9527" s="14"/>
    </row>
    <row r="9528" ht="22.5" customHeight="1">
      <c r="F9528" s="14"/>
    </row>
    <row r="9529" ht="22.5" customHeight="1">
      <c r="F9529" s="14"/>
    </row>
    <row r="9530" ht="22.5" customHeight="1">
      <c r="F9530" s="14"/>
    </row>
    <row r="9531" ht="22.5" customHeight="1">
      <c r="F9531" s="14"/>
    </row>
    <row r="9532" ht="22.5" customHeight="1">
      <c r="F9532" s="14"/>
    </row>
    <row r="9533" ht="22.5" customHeight="1">
      <c r="F9533" s="14"/>
    </row>
    <row r="9534" ht="22.5" customHeight="1">
      <c r="F9534" s="14"/>
    </row>
    <row r="9535" ht="22.5" customHeight="1">
      <c r="F9535" s="14"/>
    </row>
    <row r="9536" ht="22.5" customHeight="1">
      <c r="F9536" s="14"/>
    </row>
    <row r="9537" ht="22.5" customHeight="1">
      <c r="F9537" s="14"/>
    </row>
    <row r="9538" ht="22.5" customHeight="1">
      <c r="F9538" s="14"/>
    </row>
    <row r="9539" ht="22.5" customHeight="1">
      <c r="F9539" s="14"/>
    </row>
    <row r="9540" ht="22.5" customHeight="1">
      <c r="F9540" s="14"/>
    </row>
    <row r="9541" ht="22.5" customHeight="1">
      <c r="F9541" s="14"/>
    </row>
    <row r="9542" ht="22.5" customHeight="1">
      <c r="F9542" s="14"/>
    </row>
    <row r="9543" ht="22.5" customHeight="1">
      <c r="F9543" s="14"/>
    </row>
    <row r="9544" ht="22.5" customHeight="1">
      <c r="F9544" s="14"/>
    </row>
    <row r="9545" ht="22.5" customHeight="1">
      <c r="F9545" s="14"/>
    </row>
    <row r="9546" ht="22.5" customHeight="1">
      <c r="F9546" s="14"/>
    </row>
    <row r="9547" ht="22.5" customHeight="1">
      <c r="F9547" s="14"/>
    </row>
    <row r="9548" ht="22.5" customHeight="1">
      <c r="F9548" s="14"/>
    </row>
    <row r="9549" ht="22.5" customHeight="1">
      <c r="F9549" s="14"/>
    </row>
    <row r="9550" ht="22.5" customHeight="1">
      <c r="F9550" s="14"/>
    </row>
    <row r="9551" ht="22.5" customHeight="1">
      <c r="F9551" s="14"/>
    </row>
    <row r="9552" ht="22.5" customHeight="1">
      <c r="F9552" s="14"/>
    </row>
    <row r="9553" ht="22.5" customHeight="1">
      <c r="F9553" s="14"/>
    </row>
    <row r="9554" ht="22.5" customHeight="1">
      <c r="F9554" s="14"/>
    </row>
    <row r="9555" ht="22.5" customHeight="1">
      <c r="F9555" s="14"/>
    </row>
    <row r="9556" ht="22.5" customHeight="1">
      <c r="F9556" s="14"/>
    </row>
    <row r="9557" ht="22.5" customHeight="1">
      <c r="F9557" s="14"/>
    </row>
    <row r="9558" ht="22.5" customHeight="1">
      <c r="F9558" s="14"/>
    </row>
    <row r="9559" ht="22.5" customHeight="1">
      <c r="F9559" s="14"/>
    </row>
    <row r="9560" ht="22.5" customHeight="1">
      <c r="F9560" s="14"/>
    </row>
    <row r="9561" ht="22.5" customHeight="1">
      <c r="F9561" s="14"/>
    </row>
    <row r="9562" ht="22.5" customHeight="1">
      <c r="F9562" s="14"/>
    </row>
    <row r="9563" ht="22.5" customHeight="1">
      <c r="F9563" s="14"/>
    </row>
    <row r="9564" ht="22.5" customHeight="1">
      <c r="F9564" s="14"/>
    </row>
    <row r="9565" ht="22.5" customHeight="1">
      <c r="F9565" s="14"/>
    </row>
    <row r="9566" ht="22.5" customHeight="1">
      <c r="F9566" s="14"/>
    </row>
    <row r="9567" ht="22.5" customHeight="1">
      <c r="F9567" s="14"/>
    </row>
    <row r="9568" ht="22.5" customHeight="1">
      <c r="F9568" s="14"/>
    </row>
    <row r="9569" ht="22.5" customHeight="1">
      <c r="F9569" s="14"/>
    </row>
    <row r="9570" ht="22.5" customHeight="1">
      <c r="F9570" s="14"/>
    </row>
    <row r="9571" ht="22.5" customHeight="1">
      <c r="F9571" s="14"/>
    </row>
    <row r="9572" ht="22.5" customHeight="1">
      <c r="F9572" s="14"/>
    </row>
    <row r="9573" ht="22.5" customHeight="1">
      <c r="F9573" s="14"/>
    </row>
    <row r="9574" ht="22.5" customHeight="1">
      <c r="F9574" s="14"/>
    </row>
    <row r="9575" ht="22.5" customHeight="1">
      <c r="F9575" s="14"/>
    </row>
    <row r="9576" ht="22.5" customHeight="1">
      <c r="F9576" s="14"/>
    </row>
    <row r="9577" ht="22.5" customHeight="1">
      <c r="F9577" s="14"/>
    </row>
    <row r="9578" ht="22.5" customHeight="1">
      <c r="F9578" s="14"/>
    </row>
    <row r="9579" ht="22.5" customHeight="1">
      <c r="F9579" s="14"/>
    </row>
    <row r="9580" ht="22.5" customHeight="1">
      <c r="F9580" s="14"/>
    </row>
    <row r="9581" ht="22.5" customHeight="1">
      <c r="F9581" s="14"/>
    </row>
    <row r="9582" ht="22.5" customHeight="1">
      <c r="F9582" s="14"/>
    </row>
    <row r="9583" ht="22.5" customHeight="1">
      <c r="F9583" s="14"/>
    </row>
    <row r="9584" ht="22.5" customHeight="1">
      <c r="F9584" s="14"/>
    </row>
    <row r="9585" ht="22.5" customHeight="1">
      <c r="F9585" s="14"/>
    </row>
    <row r="9586" ht="22.5" customHeight="1">
      <c r="F9586" s="14"/>
    </row>
    <row r="9587" ht="22.5" customHeight="1">
      <c r="F9587" s="14"/>
    </row>
    <row r="9588" ht="22.5" customHeight="1">
      <c r="F9588" s="14"/>
    </row>
    <row r="9589" ht="22.5" customHeight="1">
      <c r="F9589" s="14"/>
    </row>
    <row r="9590" ht="22.5" customHeight="1">
      <c r="F9590" s="14"/>
    </row>
    <row r="9591" ht="22.5" customHeight="1">
      <c r="F9591" s="14"/>
    </row>
    <row r="9592" ht="22.5" customHeight="1">
      <c r="F9592" s="14"/>
    </row>
    <row r="9593" ht="22.5" customHeight="1">
      <c r="F9593" s="14"/>
    </row>
    <row r="9594" ht="22.5" customHeight="1">
      <c r="F9594" s="14"/>
    </row>
    <row r="9595" ht="22.5" customHeight="1">
      <c r="F9595" s="14"/>
    </row>
    <row r="9596" ht="22.5" customHeight="1">
      <c r="F9596" s="14"/>
    </row>
    <row r="9597" ht="22.5" customHeight="1">
      <c r="F9597" s="14"/>
    </row>
    <row r="9598" ht="22.5" customHeight="1">
      <c r="F9598" s="14"/>
    </row>
    <row r="9599" ht="22.5" customHeight="1">
      <c r="F9599" s="14"/>
    </row>
    <row r="9600" ht="22.5" customHeight="1">
      <c r="F9600" s="14"/>
    </row>
    <row r="9601" ht="22.5" customHeight="1">
      <c r="F9601" s="14"/>
    </row>
    <row r="9602" ht="22.5" customHeight="1">
      <c r="F9602" s="14"/>
    </row>
    <row r="9603" ht="22.5" customHeight="1">
      <c r="F9603" s="14"/>
    </row>
    <row r="9604" ht="22.5" customHeight="1">
      <c r="F9604" s="14"/>
    </row>
    <row r="9605" ht="22.5" customHeight="1">
      <c r="F9605" s="14"/>
    </row>
    <row r="9606" ht="22.5" customHeight="1">
      <c r="F9606" s="14"/>
    </row>
    <row r="9607" ht="22.5" customHeight="1">
      <c r="F9607" s="14"/>
    </row>
    <row r="9608" ht="22.5" customHeight="1">
      <c r="F9608" s="14"/>
    </row>
    <row r="9609" ht="22.5" customHeight="1">
      <c r="F9609" s="14"/>
    </row>
    <row r="9610" ht="22.5" customHeight="1">
      <c r="F9610" s="14"/>
    </row>
    <row r="9611" ht="22.5" customHeight="1">
      <c r="F9611" s="14"/>
    </row>
    <row r="9612" ht="22.5" customHeight="1">
      <c r="F9612" s="14"/>
    </row>
    <row r="9613" ht="22.5" customHeight="1">
      <c r="F9613" s="14"/>
    </row>
    <row r="9614" ht="22.5" customHeight="1">
      <c r="F9614" s="14"/>
    </row>
    <row r="9615" ht="22.5" customHeight="1">
      <c r="F9615" s="14"/>
    </row>
    <row r="9616" ht="22.5" customHeight="1">
      <c r="F9616" s="14"/>
    </row>
    <row r="9617" ht="22.5" customHeight="1">
      <c r="F9617" s="14"/>
    </row>
    <row r="9618" ht="22.5" customHeight="1">
      <c r="F9618" s="14"/>
    </row>
    <row r="9619" ht="22.5" customHeight="1">
      <c r="F9619" s="14"/>
    </row>
    <row r="9620" ht="22.5" customHeight="1">
      <c r="F9620" s="14"/>
    </row>
    <row r="9621" ht="22.5" customHeight="1">
      <c r="F9621" s="14"/>
    </row>
    <row r="9622" ht="22.5" customHeight="1">
      <c r="F9622" s="14"/>
    </row>
    <row r="9623" ht="22.5" customHeight="1">
      <c r="F9623" s="14"/>
    </row>
    <row r="9624" ht="22.5" customHeight="1">
      <c r="F9624" s="14"/>
    </row>
    <row r="9625" ht="22.5" customHeight="1">
      <c r="F9625" s="14"/>
    </row>
    <row r="9626" ht="22.5" customHeight="1">
      <c r="F9626" s="14"/>
    </row>
    <row r="9627" ht="22.5" customHeight="1">
      <c r="F9627" s="14"/>
    </row>
    <row r="9628" ht="22.5" customHeight="1">
      <c r="F9628" s="14"/>
    </row>
    <row r="9629" ht="22.5" customHeight="1">
      <c r="F9629" s="14"/>
    </row>
    <row r="9630" ht="22.5" customHeight="1">
      <c r="F9630" s="14"/>
    </row>
    <row r="9631" ht="22.5" customHeight="1">
      <c r="F9631" s="14"/>
    </row>
    <row r="9632" ht="22.5" customHeight="1">
      <c r="F9632" s="14"/>
    </row>
    <row r="9633" ht="22.5" customHeight="1">
      <c r="F9633" s="14"/>
    </row>
    <row r="9634" ht="22.5" customHeight="1">
      <c r="F9634" s="14"/>
    </row>
    <row r="9635" ht="22.5" customHeight="1">
      <c r="F9635" s="14"/>
    </row>
    <row r="9636" ht="22.5" customHeight="1">
      <c r="F9636" s="14"/>
    </row>
    <row r="9637" ht="22.5" customHeight="1">
      <c r="F9637" s="14"/>
    </row>
    <row r="9638" ht="22.5" customHeight="1">
      <c r="F9638" s="14"/>
    </row>
    <row r="9639" ht="22.5" customHeight="1">
      <c r="F9639" s="14"/>
    </row>
    <row r="9640" ht="22.5" customHeight="1">
      <c r="F9640" s="14"/>
    </row>
    <row r="9641" ht="22.5" customHeight="1">
      <c r="F9641" s="14"/>
    </row>
    <row r="9642" ht="22.5" customHeight="1">
      <c r="F9642" s="14"/>
    </row>
    <row r="9643" ht="22.5" customHeight="1">
      <c r="F9643" s="14"/>
    </row>
    <row r="9644" ht="22.5" customHeight="1">
      <c r="F9644" s="14"/>
    </row>
    <row r="9645" ht="22.5" customHeight="1">
      <c r="F9645" s="14"/>
    </row>
    <row r="9646" ht="22.5" customHeight="1">
      <c r="F9646" s="14"/>
    </row>
    <row r="9647" ht="22.5" customHeight="1">
      <c r="F9647" s="14"/>
    </row>
    <row r="9648" ht="22.5" customHeight="1">
      <c r="F9648" s="14"/>
    </row>
    <row r="9649" ht="22.5" customHeight="1">
      <c r="F9649" s="14"/>
    </row>
    <row r="9650" ht="22.5" customHeight="1">
      <c r="F9650" s="14"/>
    </row>
    <row r="9651" ht="22.5" customHeight="1">
      <c r="F9651" s="14"/>
    </row>
    <row r="9652" ht="22.5" customHeight="1">
      <c r="F9652" s="14"/>
    </row>
    <row r="9653" ht="22.5" customHeight="1">
      <c r="F9653" s="14"/>
    </row>
    <row r="9654" ht="22.5" customHeight="1">
      <c r="F9654" s="14"/>
    </row>
    <row r="9655" ht="22.5" customHeight="1">
      <c r="F9655" s="14"/>
    </row>
    <row r="9656" ht="22.5" customHeight="1">
      <c r="F9656" s="14"/>
    </row>
    <row r="9657" ht="22.5" customHeight="1">
      <c r="F9657" s="14"/>
    </row>
    <row r="9658" ht="22.5" customHeight="1">
      <c r="F9658" s="14"/>
    </row>
    <row r="9659" ht="22.5" customHeight="1">
      <c r="F9659" s="14"/>
    </row>
    <row r="9660" ht="22.5" customHeight="1">
      <c r="F9660" s="14"/>
    </row>
    <row r="9661" ht="22.5" customHeight="1">
      <c r="F9661" s="14"/>
    </row>
    <row r="9662" ht="22.5" customHeight="1">
      <c r="F9662" s="14"/>
    </row>
    <row r="9663" ht="22.5" customHeight="1">
      <c r="F9663" s="14"/>
    </row>
    <row r="9664" ht="22.5" customHeight="1">
      <c r="F9664" s="14"/>
    </row>
    <row r="9665" ht="22.5" customHeight="1">
      <c r="F9665" s="14"/>
    </row>
    <row r="9666" ht="22.5" customHeight="1">
      <c r="F9666" s="14"/>
    </row>
    <row r="9667" ht="22.5" customHeight="1">
      <c r="F9667" s="14"/>
    </row>
    <row r="9668" ht="22.5" customHeight="1">
      <c r="F9668" s="14"/>
    </row>
    <row r="9669" ht="22.5" customHeight="1">
      <c r="F9669" s="14"/>
    </row>
    <row r="9670" ht="22.5" customHeight="1">
      <c r="F9670" s="14"/>
    </row>
    <row r="9671" ht="22.5" customHeight="1">
      <c r="F9671" s="14"/>
    </row>
    <row r="9672" ht="22.5" customHeight="1">
      <c r="F9672" s="14"/>
    </row>
    <row r="9673" ht="22.5" customHeight="1">
      <c r="F9673" s="14"/>
    </row>
    <row r="9674" ht="22.5" customHeight="1">
      <c r="F9674" s="14"/>
    </row>
    <row r="9675" ht="22.5" customHeight="1">
      <c r="F9675" s="14"/>
    </row>
    <row r="9676" ht="22.5" customHeight="1">
      <c r="F9676" s="14"/>
    </row>
    <row r="9677" ht="22.5" customHeight="1">
      <c r="F9677" s="14"/>
    </row>
    <row r="9678" ht="22.5" customHeight="1">
      <c r="F9678" s="14"/>
    </row>
    <row r="9679" ht="22.5" customHeight="1">
      <c r="F9679" s="14"/>
    </row>
    <row r="9680" ht="22.5" customHeight="1">
      <c r="F9680" s="14"/>
    </row>
    <row r="9681" ht="22.5" customHeight="1">
      <c r="F9681" s="14"/>
    </row>
    <row r="9682" ht="22.5" customHeight="1">
      <c r="F9682" s="14"/>
    </row>
    <row r="9683" ht="22.5" customHeight="1">
      <c r="F9683" s="14"/>
    </row>
    <row r="9684" ht="22.5" customHeight="1">
      <c r="F9684" s="14"/>
    </row>
    <row r="9685" ht="22.5" customHeight="1">
      <c r="F9685" s="14"/>
    </row>
    <row r="9686" ht="22.5" customHeight="1">
      <c r="F9686" s="14"/>
    </row>
    <row r="9687" ht="22.5" customHeight="1">
      <c r="F9687" s="14"/>
    </row>
    <row r="9688" ht="22.5" customHeight="1">
      <c r="F9688" s="14"/>
    </row>
    <row r="9689" ht="22.5" customHeight="1">
      <c r="F9689" s="14"/>
    </row>
    <row r="9690" ht="22.5" customHeight="1">
      <c r="F9690" s="14"/>
    </row>
    <row r="9691" ht="22.5" customHeight="1">
      <c r="F9691" s="14"/>
    </row>
    <row r="9692" ht="22.5" customHeight="1">
      <c r="F9692" s="14"/>
    </row>
    <row r="9693" ht="22.5" customHeight="1">
      <c r="F9693" s="14"/>
    </row>
    <row r="9694" ht="22.5" customHeight="1">
      <c r="F9694" s="14"/>
    </row>
    <row r="9695" ht="22.5" customHeight="1">
      <c r="F9695" s="14"/>
    </row>
    <row r="9696" ht="22.5" customHeight="1">
      <c r="F9696" s="14"/>
    </row>
    <row r="9697" ht="22.5" customHeight="1">
      <c r="F9697" s="14"/>
    </row>
    <row r="9698" ht="22.5" customHeight="1">
      <c r="F9698" s="14"/>
    </row>
    <row r="9699" ht="22.5" customHeight="1">
      <c r="F9699" s="14"/>
    </row>
    <row r="9700" ht="22.5" customHeight="1">
      <c r="F9700" s="14"/>
    </row>
    <row r="9701" ht="22.5" customHeight="1">
      <c r="F9701" s="14"/>
    </row>
    <row r="9702" ht="22.5" customHeight="1">
      <c r="F9702" s="14"/>
    </row>
    <row r="9703" ht="22.5" customHeight="1">
      <c r="F9703" s="14"/>
    </row>
    <row r="9704" ht="22.5" customHeight="1">
      <c r="F9704" s="14"/>
    </row>
    <row r="9705" ht="22.5" customHeight="1">
      <c r="F9705" s="14"/>
    </row>
    <row r="9706" ht="22.5" customHeight="1">
      <c r="F9706" s="14"/>
    </row>
    <row r="9707" ht="22.5" customHeight="1">
      <c r="F9707" s="14"/>
    </row>
    <row r="9708" ht="22.5" customHeight="1">
      <c r="F9708" s="14"/>
    </row>
    <row r="9709" ht="22.5" customHeight="1">
      <c r="F9709" s="14"/>
    </row>
    <row r="9710" ht="22.5" customHeight="1">
      <c r="F9710" s="14"/>
    </row>
    <row r="9711" ht="22.5" customHeight="1">
      <c r="F9711" s="14"/>
    </row>
    <row r="9712" ht="22.5" customHeight="1">
      <c r="F9712" s="14"/>
    </row>
    <row r="9713" ht="22.5" customHeight="1">
      <c r="F9713" s="14"/>
    </row>
    <row r="9714" ht="22.5" customHeight="1">
      <c r="F9714" s="14"/>
    </row>
    <row r="9715" ht="22.5" customHeight="1">
      <c r="F9715" s="14"/>
    </row>
    <row r="9716" ht="22.5" customHeight="1">
      <c r="F9716" s="14"/>
    </row>
    <row r="9717" ht="22.5" customHeight="1">
      <c r="F9717" s="14"/>
    </row>
    <row r="9718" ht="22.5" customHeight="1">
      <c r="F9718" s="14"/>
    </row>
    <row r="9719" ht="22.5" customHeight="1">
      <c r="F9719" s="14"/>
    </row>
    <row r="9720" ht="22.5" customHeight="1">
      <c r="F9720" s="14"/>
    </row>
    <row r="9721" ht="22.5" customHeight="1">
      <c r="F9721" s="14"/>
    </row>
    <row r="9722" ht="22.5" customHeight="1">
      <c r="F9722" s="14"/>
    </row>
    <row r="9723" ht="22.5" customHeight="1">
      <c r="F9723" s="14"/>
    </row>
    <row r="9724" ht="22.5" customHeight="1">
      <c r="F9724" s="14"/>
    </row>
    <row r="9725" ht="22.5" customHeight="1">
      <c r="F9725" s="14"/>
    </row>
    <row r="9726" ht="22.5" customHeight="1">
      <c r="F9726" s="14"/>
    </row>
    <row r="9727" ht="22.5" customHeight="1">
      <c r="F9727" s="14"/>
    </row>
    <row r="9728" ht="22.5" customHeight="1">
      <c r="F9728" s="14"/>
    </row>
    <row r="9729" ht="22.5" customHeight="1">
      <c r="F9729" s="14"/>
    </row>
    <row r="9730" ht="22.5" customHeight="1">
      <c r="F9730" s="14"/>
    </row>
    <row r="9731" ht="22.5" customHeight="1">
      <c r="F9731" s="14"/>
    </row>
    <row r="9732" ht="22.5" customHeight="1">
      <c r="F9732" s="14"/>
    </row>
    <row r="9733" ht="22.5" customHeight="1">
      <c r="F9733" s="14"/>
    </row>
    <row r="9734" ht="22.5" customHeight="1">
      <c r="F9734" s="14"/>
    </row>
    <row r="9735" ht="22.5" customHeight="1">
      <c r="F9735" s="14"/>
    </row>
    <row r="9736" ht="22.5" customHeight="1">
      <c r="F9736" s="14"/>
    </row>
    <row r="9737" ht="22.5" customHeight="1">
      <c r="F9737" s="14"/>
    </row>
    <row r="9738" ht="22.5" customHeight="1">
      <c r="F9738" s="14"/>
    </row>
    <row r="9739" ht="22.5" customHeight="1">
      <c r="F9739" s="14"/>
    </row>
    <row r="9740" ht="22.5" customHeight="1">
      <c r="F9740" s="14"/>
    </row>
    <row r="9741" ht="22.5" customHeight="1">
      <c r="F9741" s="14"/>
    </row>
    <row r="9742" ht="22.5" customHeight="1">
      <c r="F9742" s="14"/>
    </row>
    <row r="9743" ht="22.5" customHeight="1">
      <c r="F9743" s="14"/>
    </row>
    <row r="9744" ht="22.5" customHeight="1">
      <c r="F9744" s="14"/>
    </row>
    <row r="9745" ht="22.5" customHeight="1">
      <c r="F9745" s="14"/>
    </row>
    <row r="9746" ht="22.5" customHeight="1">
      <c r="F9746" s="14"/>
    </row>
    <row r="9747" ht="22.5" customHeight="1">
      <c r="F9747" s="14"/>
    </row>
    <row r="9748" ht="22.5" customHeight="1">
      <c r="F9748" s="14"/>
    </row>
    <row r="9749" ht="22.5" customHeight="1">
      <c r="F9749" s="14"/>
    </row>
    <row r="9750" ht="22.5" customHeight="1">
      <c r="F9750" s="14"/>
    </row>
    <row r="9751" ht="22.5" customHeight="1">
      <c r="F9751" s="14"/>
    </row>
    <row r="9752" ht="22.5" customHeight="1">
      <c r="F9752" s="14"/>
    </row>
    <row r="9753" ht="22.5" customHeight="1">
      <c r="F9753" s="14"/>
    </row>
    <row r="9754" ht="22.5" customHeight="1">
      <c r="F9754" s="14"/>
    </row>
    <row r="9755" ht="22.5" customHeight="1">
      <c r="F9755" s="14"/>
    </row>
    <row r="9756" ht="22.5" customHeight="1">
      <c r="F9756" s="14"/>
    </row>
    <row r="9757" ht="22.5" customHeight="1">
      <c r="F9757" s="14"/>
    </row>
    <row r="9758" ht="22.5" customHeight="1">
      <c r="F9758" s="14"/>
    </row>
    <row r="9759" ht="22.5" customHeight="1">
      <c r="F9759" s="14"/>
    </row>
    <row r="9760" ht="22.5" customHeight="1">
      <c r="F9760" s="14"/>
    </row>
    <row r="9761" ht="22.5" customHeight="1">
      <c r="F9761" s="14"/>
    </row>
    <row r="9762" ht="22.5" customHeight="1">
      <c r="F9762" s="14"/>
    </row>
    <row r="9763" ht="22.5" customHeight="1">
      <c r="F9763" s="14"/>
    </row>
    <row r="9764" ht="22.5" customHeight="1">
      <c r="F9764" s="14"/>
    </row>
    <row r="9765" ht="22.5" customHeight="1">
      <c r="F9765" s="14"/>
    </row>
    <row r="9766" ht="22.5" customHeight="1">
      <c r="F9766" s="14"/>
    </row>
    <row r="9767" ht="22.5" customHeight="1">
      <c r="F9767" s="14"/>
    </row>
    <row r="9768" ht="22.5" customHeight="1">
      <c r="F9768" s="14"/>
    </row>
    <row r="9769" ht="22.5" customHeight="1">
      <c r="F9769" s="14"/>
    </row>
    <row r="9770" ht="22.5" customHeight="1">
      <c r="F9770" s="14"/>
    </row>
    <row r="9771" ht="22.5" customHeight="1">
      <c r="F9771" s="14"/>
    </row>
    <row r="9772" ht="22.5" customHeight="1">
      <c r="F9772" s="14"/>
    </row>
    <row r="9773" ht="22.5" customHeight="1">
      <c r="F9773" s="14"/>
    </row>
    <row r="9774" ht="22.5" customHeight="1">
      <c r="F9774" s="14"/>
    </row>
    <row r="9775" ht="22.5" customHeight="1">
      <c r="F9775" s="14"/>
    </row>
    <row r="9776" ht="22.5" customHeight="1">
      <c r="F9776" s="14"/>
    </row>
    <row r="9777" ht="22.5" customHeight="1">
      <c r="F9777" s="14"/>
    </row>
    <row r="9778" ht="22.5" customHeight="1">
      <c r="F9778" s="14"/>
    </row>
    <row r="9779" ht="22.5" customHeight="1">
      <c r="F9779" s="14"/>
    </row>
    <row r="9780" ht="22.5" customHeight="1">
      <c r="F9780" s="14"/>
    </row>
    <row r="9781" ht="22.5" customHeight="1">
      <c r="F9781" s="14"/>
    </row>
    <row r="9782" ht="22.5" customHeight="1">
      <c r="F9782" s="14"/>
    </row>
    <row r="9783" ht="22.5" customHeight="1">
      <c r="F9783" s="14"/>
    </row>
    <row r="9784" ht="22.5" customHeight="1">
      <c r="F9784" s="14"/>
    </row>
    <row r="9785" ht="22.5" customHeight="1">
      <c r="F9785" s="14"/>
    </row>
    <row r="9786" ht="22.5" customHeight="1">
      <c r="F9786" s="14"/>
    </row>
    <row r="9787" ht="22.5" customHeight="1">
      <c r="F9787" s="14"/>
    </row>
    <row r="9788" ht="22.5" customHeight="1">
      <c r="F9788" s="14"/>
    </row>
    <row r="9789" ht="22.5" customHeight="1">
      <c r="F9789" s="14"/>
    </row>
    <row r="9790" ht="22.5" customHeight="1">
      <c r="F9790" s="14"/>
    </row>
    <row r="9791" ht="22.5" customHeight="1">
      <c r="F9791" s="14"/>
    </row>
    <row r="9792" ht="22.5" customHeight="1">
      <c r="F9792" s="14"/>
    </row>
    <row r="9793" ht="22.5" customHeight="1">
      <c r="F9793" s="14"/>
    </row>
    <row r="9794" ht="22.5" customHeight="1">
      <c r="F9794" s="14"/>
    </row>
    <row r="9795" ht="22.5" customHeight="1">
      <c r="F9795" s="14"/>
    </row>
    <row r="9796" ht="22.5" customHeight="1">
      <c r="F9796" s="14"/>
    </row>
    <row r="9797" ht="22.5" customHeight="1">
      <c r="F9797" s="14"/>
    </row>
    <row r="9798" ht="22.5" customHeight="1">
      <c r="F9798" s="14"/>
    </row>
    <row r="9799" ht="22.5" customHeight="1">
      <c r="F9799" s="14"/>
    </row>
    <row r="9800" ht="22.5" customHeight="1">
      <c r="F9800" s="14"/>
    </row>
    <row r="9801" ht="22.5" customHeight="1">
      <c r="F9801" s="14"/>
    </row>
    <row r="9802" ht="22.5" customHeight="1">
      <c r="F9802" s="14"/>
    </row>
    <row r="9803" ht="22.5" customHeight="1">
      <c r="F9803" s="14"/>
    </row>
    <row r="9804" ht="22.5" customHeight="1">
      <c r="F9804" s="14"/>
    </row>
    <row r="9805" ht="22.5" customHeight="1">
      <c r="F9805" s="14"/>
    </row>
    <row r="9806" ht="22.5" customHeight="1">
      <c r="F9806" s="14"/>
    </row>
    <row r="9807" ht="22.5" customHeight="1">
      <c r="F9807" s="14"/>
    </row>
    <row r="9808" ht="22.5" customHeight="1">
      <c r="F9808" s="14"/>
    </row>
    <row r="9809" ht="22.5" customHeight="1">
      <c r="F9809" s="14"/>
    </row>
    <row r="9810" ht="22.5" customHeight="1">
      <c r="F9810" s="14"/>
    </row>
    <row r="9811" ht="22.5" customHeight="1">
      <c r="F9811" s="14"/>
    </row>
    <row r="9812" ht="22.5" customHeight="1">
      <c r="F9812" s="14"/>
    </row>
    <row r="9813" ht="22.5" customHeight="1">
      <c r="F9813" s="14"/>
    </row>
    <row r="9814" ht="22.5" customHeight="1">
      <c r="F9814" s="14"/>
    </row>
    <row r="9815" ht="22.5" customHeight="1">
      <c r="F9815" s="14"/>
    </row>
    <row r="9816" ht="22.5" customHeight="1">
      <c r="F9816" s="14"/>
    </row>
    <row r="9817" ht="22.5" customHeight="1">
      <c r="F9817" s="14"/>
    </row>
    <row r="9818" ht="22.5" customHeight="1">
      <c r="F9818" s="14"/>
    </row>
    <row r="9819" ht="22.5" customHeight="1">
      <c r="F9819" s="14"/>
    </row>
    <row r="9820" ht="22.5" customHeight="1">
      <c r="F9820" s="14"/>
    </row>
    <row r="9821" ht="22.5" customHeight="1">
      <c r="F9821" s="14"/>
    </row>
    <row r="9822" ht="22.5" customHeight="1">
      <c r="F9822" s="14"/>
    </row>
    <row r="9823" ht="22.5" customHeight="1">
      <c r="F9823" s="14"/>
    </row>
    <row r="9824" ht="22.5" customHeight="1">
      <c r="F9824" s="14"/>
    </row>
    <row r="9825" ht="22.5" customHeight="1">
      <c r="F9825" s="14"/>
    </row>
    <row r="9826" ht="22.5" customHeight="1">
      <c r="F9826" s="14"/>
    </row>
    <row r="9827" ht="22.5" customHeight="1">
      <c r="F9827" s="14"/>
    </row>
    <row r="9828" ht="22.5" customHeight="1">
      <c r="F9828" s="14"/>
    </row>
    <row r="9829" ht="22.5" customHeight="1">
      <c r="F9829" s="14"/>
    </row>
    <row r="9830" ht="22.5" customHeight="1">
      <c r="F9830" s="14"/>
    </row>
    <row r="9831" ht="22.5" customHeight="1">
      <c r="F9831" s="14"/>
    </row>
    <row r="9832" ht="22.5" customHeight="1">
      <c r="F9832" s="14"/>
    </row>
    <row r="9833" ht="22.5" customHeight="1">
      <c r="F9833" s="14"/>
    </row>
    <row r="9834" ht="22.5" customHeight="1">
      <c r="F9834" s="14"/>
    </row>
    <row r="9835" ht="22.5" customHeight="1">
      <c r="F9835" s="14"/>
    </row>
    <row r="9836" ht="22.5" customHeight="1">
      <c r="F9836" s="14"/>
    </row>
    <row r="9837" ht="22.5" customHeight="1">
      <c r="F9837" s="14"/>
    </row>
    <row r="9838" ht="22.5" customHeight="1">
      <c r="F9838" s="14"/>
    </row>
    <row r="9839" ht="22.5" customHeight="1">
      <c r="F9839" s="14"/>
    </row>
    <row r="9840" ht="22.5" customHeight="1">
      <c r="F9840" s="14"/>
    </row>
    <row r="9841" ht="22.5" customHeight="1">
      <c r="F9841" s="14"/>
    </row>
    <row r="9842" ht="22.5" customHeight="1">
      <c r="F9842" s="14"/>
    </row>
    <row r="9843" ht="22.5" customHeight="1">
      <c r="F9843" s="14"/>
    </row>
    <row r="9844" ht="22.5" customHeight="1">
      <c r="F9844" s="14"/>
    </row>
    <row r="9845" ht="22.5" customHeight="1">
      <c r="F9845" s="14"/>
    </row>
    <row r="9846" ht="22.5" customHeight="1">
      <c r="F9846" s="14"/>
    </row>
    <row r="9847" ht="22.5" customHeight="1">
      <c r="F9847" s="14"/>
    </row>
    <row r="9848" ht="22.5" customHeight="1">
      <c r="F9848" s="14"/>
    </row>
    <row r="9849" ht="22.5" customHeight="1">
      <c r="F9849" s="14"/>
    </row>
    <row r="9850" ht="22.5" customHeight="1">
      <c r="F9850" s="14"/>
    </row>
    <row r="9851" ht="22.5" customHeight="1">
      <c r="F9851" s="14"/>
    </row>
    <row r="9852" ht="22.5" customHeight="1">
      <c r="F9852" s="14"/>
    </row>
    <row r="9853" ht="22.5" customHeight="1">
      <c r="F9853" s="14"/>
    </row>
    <row r="9854" ht="22.5" customHeight="1">
      <c r="F9854" s="14"/>
    </row>
    <row r="9855" ht="22.5" customHeight="1">
      <c r="F9855" s="14"/>
    </row>
    <row r="9856" ht="22.5" customHeight="1">
      <c r="F9856" s="14"/>
    </row>
    <row r="9857" ht="22.5" customHeight="1">
      <c r="F9857" s="14"/>
    </row>
    <row r="9858" ht="22.5" customHeight="1">
      <c r="F9858" s="14"/>
    </row>
    <row r="9859" ht="22.5" customHeight="1">
      <c r="F9859" s="14"/>
    </row>
    <row r="9860" ht="22.5" customHeight="1">
      <c r="F9860" s="14"/>
    </row>
    <row r="9861" ht="22.5" customHeight="1">
      <c r="F9861" s="14"/>
    </row>
    <row r="9862" ht="22.5" customHeight="1">
      <c r="F9862" s="14"/>
    </row>
    <row r="9863" ht="22.5" customHeight="1">
      <c r="F9863" s="14"/>
    </row>
    <row r="9864" ht="22.5" customHeight="1">
      <c r="F9864" s="14"/>
    </row>
    <row r="9865" ht="22.5" customHeight="1">
      <c r="F9865" s="14"/>
    </row>
    <row r="9866" ht="22.5" customHeight="1">
      <c r="F9866" s="14"/>
    </row>
    <row r="9867" ht="22.5" customHeight="1">
      <c r="F9867" s="14"/>
    </row>
    <row r="9868" ht="22.5" customHeight="1">
      <c r="F9868" s="14"/>
    </row>
    <row r="9869" ht="22.5" customHeight="1">
      <c r="F9869" s="14"/>
    </row>
    <row r="9870" ht="22.5" customHeight="1">
      <c r="F9870" s="14"/>
    </row>
    <row r="9871" ht="22.5" customHeight="1">
      <c r="F9871" s="14"/>
    </row>
    <row r="9872" ht="22.5" customHeight="1">
      <c r="F9872" s="14"/>
    </row>
    <row r="9873" ht="22.5" customHeight="1">
      <c r="F9873" s="14"/>
    </row>
    <row r="9874" ht="22.5" customHeight="1">
      <c r="F9874" s="14"/>
    </row>
    <row r="9875" ht="22.5" customHeight="1">
      <c r="F9875" s="14"/>
    </row>
    <row r="9876" ht="22.5" customHeight="1">
      <c r="F9876" s="14"/>
    </row>
    <row r="9877" ht="22.5" customHeight="1">
      <c r="F9877" s="14"/>
    </row>
    <row r="9878" ht="22.5" customHeight="1">
      <c r="F9878" s="14"/>
    </row>
    <row r="9879" ht="22.5" customHeight="1">
      <c r="F9879" s="14"/>
    </row>
    <row r="9880" ht="22.5" customHeight="1">
      <c r="F9880" s="14"/>
    </row>
    <row r="9881" ht="22.5" customHeight="1">
      <c r="F9881" s="14"/>
    </row>
    <row r="9882" ht="22.5" customHeight="1">
      <c r="F9882" s="14"/>
    </row>
    <row r="9883" ht="22.5" customHeight="1">
      <c r="F9883" s="14"/>
    </row>
    <row r="9884" ht="22.5" customHeight="1">
      <c r="F9884" s="14"/>
    </row>
    <row r="9885" ht="22.5" customHeight="1">
      <c r="F9885" s="14"/>
    </row>
    <row r="9886" ht="22.5" customHeight="1">
      <c r="F9886" s="14"/>
    </row>
    <row r="9887" ht="22.5" customHeight="1">
      <c r="F9887" s="14"/>
    </row>
    <row r="9888" ht="22.5" customHeight="1">
      <c r="F9888" s="14"/>
    </row>
    <row r="9889" ht="22.5" customHeight="1">
      <c r="F9889" s="14"/>
    </row>
    <row r="9890" ht="22.5" customHeight="1">
      <c r="F9890" s="14"/>
    </row>
    <row r="9891" ht="22.5" customHeight="1">
      <c r="F9891" s="14"/>
    </row>
    <row r="9892" ht="22.5" customHeight="1">
      <c r="F9892" s="14"/>
    </row>
    <row r="9893" ht="22.5" customHeight="1">
      <c r="F9893" s="14"/>
    </row>
    <row r="9894" ht="22.5" customHeight="1">
      <c r="F9894" s="14"/>
    </row>
    <row r="9895" ht="22.5" customHeight="1">
      <c r="F9895" s="14"/>
    </row>
    <row r="9896" ht="22.5" customHeight="1">
      <c r="F9896" s="14"/>
    </row>
    <row r="9897" ht="22.5" customHeight="1">
      <c r="F9897" s="14"/>
    </row>
    <row r="9898" ht="22.5" customHeight="1">
      <c r="F9898" s="14"/>
    </row>
    <row r="9899" ht="22.5" customHeight="1">
      <c r="F9899" s="14"/>
    </row>
    <row r="9900" ht="22.5" customHeight="1">
      <c r="F9900" s="14"/>
    </row>
    <row r="9901" ht="22.5" customHeight="1">
      <c r="F9901" s="14"/>
    </row>
    <row r="9902" ht="22.5" customHeight="1">
      <c r="F9902" s="14"/>
    </row>
    <row r="9903" ht="22.5" customHeight="1">
      <c r="F9903" s="14"/>
    </row>
    <row r="9904" ht="22.5" customHeight="1">
      <c r="F9904" s="14"/>
    </row>
    <row r="9905" ht="22.5" customHeight="1">
      <c r="F9905" s="14"/>
    </row>
    <row r="9906" ht="22.5" customHeight="1">
      <c r="F9906" s="14"/>
    </row>
    <row r="9907" ht="22.5" customHeight="1">
      <c r="F9907" s="14"/>
    </row>
    <row r="9908" ht="22.5" customHeight="1">
      <c r="F9908" s="14"/>
    </row>
    <row r="9909" ht="22.5" customHeight="1">
      <c r="F9909" s="14"/>
    </row>
    <row r="9910" ht="22.5" customHeight="1">
      <c r="F9910" s="14"/>
    </row>
    <row r="9911" ht="22.5" customHeight="1">
      <c r="F9911" s="14"/>
    </row>
    <row r="9912" ht="22.5" customHeight="1">
      <c r="F9912" s="14"/>
    </row>
    <row r="9913" ht="22.5" customHeight="1">
      <c r="F9913" s="14"/>
    </row>
    <row r="9914" ht="22.5" customHeight="1">
      <c r="F9914" s="14"/>
    </row>
    <row r="9915" ht="22.5" customHeight="1">
      <c r="F9915" s="14"/>
    </row>
    <row r="9916" ht="22.5" customHeight="1">
      <c r="F9916" s="14"/>
    </row>
    <row r="9917" ht="22.5" customHeight="1">
      <c r="F9917" s="14"/>
    </row>
    <row r="9918" ht="22.5" customHeight="1">
      <c r="F9918" s="14"/>
    </row>
    <row r="9919" ht="22.5" customHeight="1">
      <c r="F9919" s="14"/>
    </row>
    <row r="9920" ht="22.5" customHeight="1">
      <c r="F9920" s="14"/>
    </row>
    <row r="9921" ht="22.5" customHeight="1">
      <c r="F9921" s="14"/>
    </row>
    <row r="9922" ht="22.5" customHeight="1">
      <c r="F9922" s="14"/>
    </row>
    <row r="9923" ht="22.5" customHeight="1">
      <c r="F9923" s="14"/>
    </row>
    <row r="9924" ht="22.5" customHeight="1">
      <c r="F9924" s="14"/>
    </row>
    <row r="9925" ht="22.5" customHeight="1">
      <c r="F9925" s="14"/>
    </row>
    <row r="9926" ht="22.5" customHeight="1">
      <c r="F9926" s="14"/>
    </row>
    <row r="9927" ht="22.5" customHeight="1">
      <c r="F9927" s="14"/>
    </row>
    <row r="9928" ht="22.5" customHeight="1">
      <c r="F9928" s="14"/>
    </row>
    <row r="9929" ht="22.5" customHeight="1">
      <c r="F9929" s="14"/>
    </row>
    <row r="9930" ht="22.5" customHeight="1">
      <c r="F9930" s="14"/>
    </row>
    <row r="9931" ht="22.5" customHeight="1">
      <c r="F9931" s="14"/>
    </row>
    <row r="9932" ht="22.5" customHeight="1">
      <c r="F9932" s="14"/>
    </row>
    <row r="9933" ht="22.5" customHeight="1">
      <c r="F9933" s="14"/>
    </row>
    <row r="9934" ht="22.5" customHeight="1">
      <c r="F9934" s="14"/>
    </row>
    <row r="9935" ht="22.5" customHeight="1">
      <c r="F9935" s="14"/>
    </row>
    <row r="9936" ht="22.5" customHeight="1">
      <c r="F9936" s="14"/>
    </row>
    <row r="9937" ht="22.5" customHeight="1">
      <c r="F9937" s="14"/>
    </row>
    <row r="9938" ht="22.5" customHeight="1">
      <c r="F9938" s="14"/>
    </row>
    <row r="9939" ht="22.5" customHeight="1">
      <c r="F9939" s="14"/>
    </row>
    <row r="9940" ht="22.5" customHeight="1">
      <c r="F9940" s="14"/>
    </row>
    <row r="9941" ht="22.5" customHeight="1">
      <c r="F9941" s="14"/>
    </row>
    <row r="9942" ht="22.5" customHeight="1">
      <c r="F9942" s="14"/>
    </row>
    <row r="9943" ht="22.5" customHeight="1">
      <c r="F9943" s="14"/>
    </row>
    <row r="9944" ht="22.5" customHeight="1">
      <c r="F9944" s="14"/>
    </row>
    <row r="9945" ht="22.5" customHeight="1">
      <c r="F9945" s="14"/>
    </row>
    <row r="9946" ht="22.5" customHeight="1">
      <c r="F9946" s="14"/>
    </row>
    <row r="9947" ht="22.5" customHeight="1">
      <c r="F9947" s="14"/>
    </row>
    <row r="9948" ht="22.5" customHeight="1">
      <c r="F9948" s="14"/>
    </row>
    <row r="9949" ht="22.5" customHeight="1">
      <c r="F9949" s="14"/>
    </row>
    <row r="9950" ht="22.5" customHeight="1">
      <c r="F9950" s="14"/>
    </row>
    <row r="9951" ht="22.5" customHeight="1">
      <c r="F9951" s="14"/>
    </row>
    <row r="9952" ht="22.5" customHeight="1">
      <c r="F9952" s="14"/>
    </row>
    <row r="9953" ht="22.5" customHeight="1">
      <c r="F9953" s="14"/>
    </row>
    <row r="9954" ht="22.5" customHeight="1">
      <c r="F9954" s="14"/>
    </row>
    <row r="9955" ht="22.5" customHeight="1">
      <c r="F9955" s="14"/>
    </row>
    <row r="9956" ht="22.5" customHeight="1">
      <c r="F9956" s="14"/>
    </row>
    <row r="9957" ht="22.5" customHeight="1">
      <c r="F9957" s="14"/>
    </row>
    <row r="9958" ht="22.5" customHeight="1">
      <c r="F9958" s="14"/>
    </row>
    <row r="9959" ht="22.5" customHeight="1">
      <c r="F9959" s="14"/>
    </row>
    <row r="9960" ht="22.5" customHeight="1">
      <c r="F9960" s="14"/>
    </row>
    <row r="9961" ht="22.5" customHeight="1">
      <c r="F9961" s="14"/>
    </row>
    <row r="9962" ht="22.5" customHeight="1">
      <c r="F9962" s="14"/>
    </row>
    <row r="9963" ht="22.5" customHeight="1">
      <c r="F9963" s="14"/>
    </row>
    <row r="9964" ht="22.5" customHeight="1">
      <c r="F9964" s="14"/>
    </row>
    <row r="9965" ht="22.5" customHeight="1">
      <c r="F9965" s="14"/>
    </row>
    <row r="9966" ht="22.5" customHeight="1">
      <c r="F9966" s="14"/>
    </row>
    <row r="9967" ht="22.5" customHeight="1">
      <c r="F9967" s="14"/>
    </row>
    <row r="9968" ht="22.5" customHeight="1">
      <c r="F9968" s="14"/>
    </row>
    <row r="9969" ht="22.5" customHeight="1">
      <c r="F9969" s="14"/>
    </row>
    <row r="9970" ht="22.5" customHeight="1">
      <c r="F9970" s="14"/>
    </row>
    <row r="9971" ht="22.5" customHeight="1">
      <c r="F9971" s="14"/>
    </row>
    <row r="9972" ht="22.5" customHeight="1">
      <c r="F9972" s="14"/>
    </row>
    <row r="9973" ht="22.5" customHeight="1">
      <c r="F9973" s="14"/>
    </row>
    <row r="9974" ht="22.5" customHeight="1">
      <c r="F9974" s="14"/>
    </row>
    <row r="9975" ht="22.5" customHeight="1">
      <c r="F9975" s="14"/>
    </row>
    <row r="9976" ht="22.5" customHeight="1">
      <c r="F9976" s="14"/>
    </row>
    <row r="9977" ht="22.5" customHeight="1">
      <c r="F9977" s="14"/>
    </row>
    <row r="9978" ht="22.5" customHeight="1">
      <c r="F9978" s="14"/>
    </row>
    <row r="9979" ht="22.5" customHeight="1">
      <c r="F9979" s="14"/>
    </row>
    <row r="9980" ht="22.5" customHeight="1">
      <c r="F9980" s="14"/>
    </row>
    <row r="9981" ht="22.5" customHeight="1">
      <c r="F9981" s="14"/>
    </row>
    <row r="9982" ht="22.5" customHeight="1">
      <c r="F9982" s="14"/>
    </row>
    <row r="9983" ht="22.5" customHeight="1">
      <c r="F9983" s="14"/>
    </row>
    <row r="9984" ht="22.5" customHeight="1">
      <c r="F9984" s="14"/>
    </row>
    <row r="9985" ht="22.5" customHeight="1">
      <c r="F9985" s="14"/>
    </row>
    <row r="9986" ht="22.5" customHeight="1">
      <c r="F9986" s="14"/>
    </row>
    <row r="9987" ht="22.5" customHeight="1">
      <c r="F9987" s="14"/>
    </row>
    <row r="9988" ht="22.5" customHeight="1">
      <c r="F9988" s="14"/>
    </row>
    <row r="9989" ht="22.5" customHeight="1">
      <c r="F9989" s="14"/>
    </row>
    <row r="9990" ht="22.5" customHeight="1">
      <c r="F9990" s="14"/>
    </row>
    <row r="9991" ht="22.5" customHeight="1">
      <c r="F9991" s="14"/>
    </row>
    <row r="9992" ht="22.5" customHeight="1">
      <c r="F9992" s="14"/>
    </row>
    <row r="9993" ht="22.5" customHeight="1">
      <c r="F9993" s="14"/>
    </row>
    <row r="9994" ht="22.5" customHeight="1">
      <c r="F9994" s="14"/>
    </row>
    <row r="9995" ht="22.5" customHeight="1">
      <c r="F9995" s="14"/>
    </row>
    <row r="9996" ht="22.5" customHeight="1">
      <c r="F9996" s="14"/>
    </row>
    <row r="9997" ht="22.5" customHeight="1">
      <c r="F9997" s="14"/>
    </row>
    <row r="9998" ht="22.5" customHeight="1">
      <c r="F9998" s="14"/>
    </row>
    <row r="9999" ht="22.5" customHeight="1">
      <c r="F9999" s="14"/>
    </row>
    <row r="10000" ht="22.5" customHeight="1">
      <c r="F10000" s="14"/>
    </row>
    <row r="10001" ht="22.5" customHeight="1">
      <c r="F10001" s="14"/>
    </row>
    <row r="10002" ht="22.5" customHeight="1">
      <c r="F10002" s="14"/>
    </row>
    <row r="10003" ht="22.5" customHeight="1">
      <c r="F10003" s="14"/>
    </row>
    <row r="10004" ht="22.5" customHeight="1">
      <c r="F10004" s="14"/>
    </row>
    <row r="10005" ht="22.5" customHeight="1">
      <c r="F10005" s="14"/>
    </row>
    <row r="10006" ht="22.5" customHeight="1">
      <c r="F10006" s="14"/>
    </row>
    <row r="10007" ht="22.5" customHeight="1">
      <c r="F10007" s="14"/>
    </row>
    <row r="10008" ht="22.5" customHeight="1">
      <c r="F10008" s="14"/>
    </row>
    <row r="10009" ht="22.5" customHeight="1">
      <c r="F10009" s="14"/>
    </row>
    <row r="10010" ht="22.5" customHeight="1">
      <c r="F10010" s="14"/>
    </row>
    <row r="10011" ht="22.5" customHeight="1">
      <c r="F10011" s="14"/>
    </row>
    <row r="10012" ht="22.5" customHeight="1">
      <c r="F10012" s="14"/>
    </row>
    <row r="10013" ht="22.5" customHeight="1">
      <c r="F10013" s="14"/>
    </row>
    <row r="10014" ht="22.5" customHeight="1">
      <c r="F10014" s="14"/>
    </row>
    <row r="10015" ht="22.5" customHeight="1">
      <c r="F10015" s="14"/>
    </row>
    <row r="10016" ht="22.5" customHeight="1">
      <c r="F10016" s="14"/>
    </row>
    <row r="10017" ht="22.5" customHeight="1">
      <c r="F10017" s="14"/>
    </row>
    <row r="10018" ht="22.5" customHeight="1">
      <c r="F10018" s="14"/>
    </row>
    <row r="10019" ht="22.5" customHeight="1">
      <c r="F10019" s="14"/>
    </row>
    <row r="10020" ht="22.5" customHeight="1">
      <c r="F10020" s="14"/>
    </row>
    <row r="10021" ht="22.5" customHeight="1">
      <c r="F10021" s="14"/>
    </row>
    <row r="10022" ht="22.5" customHeight="1">
      <c r="F10022" s="14"/>
    </row>
    <row r="10023" ht="22.5" customHeight="1">
      <c r="F10023" s="14"/>
    </row>
    <row r="10024" ht="22.5" customHeight="1">
      <c r="F10024" s="14"/>
    </row>
    <row r="10025" ht="22.5" customHeight="1">
      <c r="F10025" s="14"/>
    </row>
    <row r="10026" ht="22.5" customHeight="1">
      <c r="F10026" s="14"/>
    </row>
    <row r="10027" ht="22.5" customHeight="1">
      <c r="F10027" s="14"/>
    </row>
    <row r="10028" ht="22.5" customHeight="1">
      <c r="F10028" s="14"/>
    </row>
    <row r="10029" ht="22.5" customHeight="1">
      <c r="F10029" s="14"/>
    </row>
    <row r="10030" ht="22.5" customHeight="1">
      <c r="F10030" s="14"/>
    </row>
    <row r="10031" ht="22.5" customHeight="1">
      <c r="F10031" s="14"/>
    </row>
    <row r="10032" ht="22.5" customHeight="1">
      <c r="F10032" s="14"/>
    </row>
    <row r="10033" ht="22.5" customHeight="1">
      <c r="F10033" s="14"/>
    </row>
    <row r="10034" ht="22.5" customHeight="1">
      <c r="F10034" s="14"/>
    </row>
    <row r="10035" ht="22.5" customHeight="1">
      <c r="F10035" s="14"/>
    </row>
    <row r="10036" ht="22.5" customHeight="1">
      <c r="F10036" s="14"/>
    </row>
    <row r="10037" ht="22.5" customHeight="1">
      <c r="F10037" s="14"/>
    </row>
    <row r="10038" ht="22.5" customHeight="1">
      <c r="F10038" s="14"/>
    </row>
    <row r="10039" ht="22.5" customHeight="1">
      <c r="F10039" s="14"/>
    </row>
    <row r="10040" ht="22.5" customHeight="1">
      <c r="F10040" s="14"/>
    </row>
    <row r="10041" ht="22.5" customHeight="1">
      <c r="F10041" s="14"/>
    </row>
    <row r="10042" ht="22.5" customHeight="1">
      <c r="F10042" s="14"/>
    </row>
    <row r="10043" ht="22.5" customHeight="1">
      <c r="F10043" s="14"/>
    </row>
    <row r="10044" ht="22.5" customHeight="1">
      <c r="F10044" s="14"/>
    </row>
    <row r="10045" ht="22.5" customHeight="1">
      <c r="F10045" s="14"/>
    </row>
    <row r="10046" ht="22.5" customHeight="1">
      <c r="F10046" s="14"/>
    </row>
    <row r="10047" ht="22.5" customHeight="1">
      <c r="F10047" s="14"/>
    </row>
    <row r="10048" ht="22.5" customHeight="1">
      <c r="F10048" s="14"/>
    </row>
    <row r="10049" ht="22.5" customHeight="1">
      <c r="F10049" s="14"/>
    </row>
    <row r="10050" ht="22.5" customHeight="1">
      <c r="F10050" s="14"/>
    </row>
    <row r="10051" ht="22.5" customHeight="1">
      <c r="F10051" s="14"/>
    </row>
    <row r="10052" ht="22.5" customHeight="1">
      <c r="F10052" s="14"/>
    </row>
    <row r="10053" ht="22.5" customHeight="1">
      <c r="F10053" s="14"/>
    </row>
    <row r="10054" ht="22.5" customHeight="1">
      <c r="F10054" s="14"/>
    </row>
    <row r="10055" ht="22.5" customHeight="1">
      <c r="F10055" s="14"/>
    </row>
    <row r="10056" ht="22.5" customHeight="1">
      <c r="F10056" s="14"/>
    </row>
    <row r="10057" ht="22.5" customHeight="1">
      <c r="F10057" s="14"/>
    </row>
    <row r="10058" ht="22.5" customHeight="1">
      <c r="F10058" s="14"/>
    </row>
    <row r="10059" ht="22.5" customHeight="1">
      <c r="F10059" s="14"/>
    </row>
    <row r="10060" ht="22.5" customHeight="1">
      <c r="F10060" s="14"/>
    </row>
    <row r="10061" ht="22.5" customHeight="1">
      <c r="F10061" s="14"/>
    </row>
    <row r="10062" ht="22.5" customHeight="1">
      <c r="F10062" s="14"/>
    </row>
    <row r="10063" ht="22.5" customHeight="1">
      <c r="F10063" s="14"/>
    </row>
    <row r="10064" ht="22.5" customHeight="1">
      <c r="F10064" s="14"/>
    </row>
    <row r="10065" ht="22.5" customHeight="1">
      <c r="F10065" s="14"/>
    </row>
    <row r="10066" ht="22.5" customHeight="1">
      <c r="F10066" s="14"/>
    </row>
    <row r="10067" ht="22.5" customHeight="1">
      <c r="F10067" s="14"/>
    </row>
    <row r="10068" ht="22.5" customHeight="1">
      <c r="F10068" s="14"/>
    </row>
    <row r="10069" ht="22.5" customHeight="1">
      <c r="F10069" s="14"/>
    </row>
    <row r="10070" ht="22.5" customHeight="1">
      <c r="F10070" s="14"/>
    </row>
    <row r="10071" ht="22.5" customHeight="1">
      <c r="F10071" s="14"/>
    </row>
    <row r="10072" ht="22.5" customHeight="1">
      <c r="F10072" s="14"/>
    </row>
    <row r="10073" ht="22.5" customHeight="1">
      <c r="F10073" s="14"/>
    </row>
    <row r="10074" ht="22.5" customHeight="1">
      <c r="F10074" s="14"/>
    </row>
    <row r="10075" ht="22.5" customHeight="1">
      <c r="F10075" s="14"/>
    </row>
    <row r="10076" ht="22.5" customHeight="1">
      <c r="F10076" s="14"/>
    </row>
    <row r="10077" ht="22.5" customHeight="1">
      <c r="F10077" s="14"/>
    </row>
  </sheetData>
  <sheetProtection/>
  <mergeCells count="2">
    <mergeCell ref="B1:I1"/>
    <mergeCell ref="B3:I3"/>
  </mergeCells>
  <printOptions horizontalCentered="1"/>
  <pageMargins left="0.7480314960629921" right="0.7480314960629921" top="0.15748031496062992" bottom="0.7480314960629921" header="0.15748031496062992" footer="0.2362204724409449"/>
  <pageSetup horizontalDpi="600" verticalDpi="600" orientation="landscape" r:id="rId1"/>
  <headerFooter alignWithMargins="0">
    <oddFooter>&amp;C
</oddFooter>
  </headerFooter>
  <rowBreaks count="2" manualBreakCount="2">
    <brk id="28" max="8" man="1"/>
    <brk id="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B6" sqref="B6"/>
    </sheetView>
  </sheetViews>
  <sheetFormatPr defaultColWidth="11.57421875" defaultRowHeight="22.5" customHeight="1"/>
  <cols>
    <col min="1" max="1" width="30.00390625" style="11" customWidth="1"/>
    <col min="2" max="2" width="15.421875" style="11" customWidth="1"/>
    <col min="3" max="3" width="11.00390625" style="11" customWidth="1"/>
    <col min="4" max="4" width="11.7109375" style="11" customWidth="1"/>
    <col min="5" max="5" width="11.00390625" style="11" customWidth="1"/>
    <col min="6" max="6" width="12.28125" style="11" customWidth="1"/>
    <col min="7" max="7" width="13.00390625" style="11" customWidth="1"/>
    <col min="8" max="16384" width="11.57421875" style="11" customWidth="1"/>
  </cols>
  <sheetData>
    <row r="1" spans="1:7" s="20" customFormat="1" ht="17.25" customHeight="1">
      <c r="A1" s="813" t="s">
        <v>185</v>
      </c>
      <c r="B1" s="813"/>
      <c r="C1" s="813"/>
      <c r="D1" s="813"/>
      <c r="E1" s="117"/>
      <c r="F1" s="117"/>
      <c r="G1" s="117"/>
    </row>
    <row r="2" spans="1:7" s="20" customFormat="1" ht="17.25" customHeight="1">
      <c r="A2" s="44"/>
      <c r="B2" s="44"/>
      <c r="C2" s="44"/>
      <c r="D2" s="44"/>
      <c r="E2" s="44"/>
      <c r="F2" s="44"/>
      <c r="G2" s="44"/>
    </row>
    <row r="3" spans="1:7" s="21" customFormat="1" ht="14.25" customHeight="1">
      <c r="A3" s="115" t="s">
        <v>250</v>
      </c>
      <c r="B3" s="115"/>
      <c r="C3" s="115"/>
      <c r="D3" s="115"/>
      <c r="E3" s="115"/>
      <c r="F3" s="115"/>
      <c r="G3" s="115"/>
    </row>
    <row r="4" spans="1:7" s="21" customFormat="1" ht="14.25" customHeight="1">
      <c r="A4" s="66" t="s">
        <v>191</v>
      </c>
      <c r="B4" s="49">
        <f>Materiales!D36</f>
        <v>207.9</v>
      </c>
      <c r="C4" s="49" t="s">
        <v>96</v>
      </c>
      <c r="D4" s="49"/>
      <c r="E4" s="48"/>
      <c r="F4" s="48"/>
      <c r="G4" s="48"/>
    </row>
    <row r="5" spans="1:7" s="21" customFormat="1" ht="30" customHeight="1">
      <c r="A5" s="66" t="s">
        <v>201</v>
      </c>
      <c r="B5" s="814" t="s">
        <v>1128</v>
      </c>
      <c r="C5" s="814"/>
      <c r="D5" s="814"/>
      <c r="E5" s="48">
        <f>Materiales!F2</f>
        <v>50.08</v>
      </c>
      <c r="F5" s="48"/>
      <c r="G5" s="48"/>
    </row>
    <row r="6" spans="1:7" s="23" customFormat="1" ht="22.5" customHeight="1" thickBot="1">
      <c r="A6" s="24"/>
      <c r="B6" s="24"/>
      <c r="C6" s="24"/>
      <c r="D6" s="24"/>
      <c r="E6" s="24"/>
      <c r="F6" s="24"/>
      <c r="G6" s="24"/>
    </row>
    <row r="7" spans="1:4" s="23" customFormat="1" ht="24.75" customHeight="1">
      <c r="A7" s="135" t="s">
        <v>86</v>
      </c>
      <c r="B7" s="136" t="s">
        <v>193</v>
      </c>
      <c r="C7" s="373" t="s">
        <v>194</v>
      </c>
      <c r="D7" s="371" t="s">
        <v>195</v>
      </c>
    </row>
    <row r="8" spans="1:6" s="23" customFormat="1" ht="18" customHeight="1">
      <c r="A8" s="367" t="s">
        <v>200</v>
      </c>
      <c r="B8" s="133">
        <f>C8*23.83</f>
        <v>119340.64</v>
      </c>
      <c r="C8" s="133">
        <f>100*E5</f>
        <v>5008</v>
      </c>
      <c r="D8" s="369">
        <f>C8/8</f>
        <v>626</v>
      </c>
      <c r="F8" s="23">
        <f>240.49*37.9</f>
        <v>9114.57</v>
      </c>
    </row>
    <row r="9" spans="1:8" s="23" customFormat="1" ht="18" customHeight="1">
      <c r="A9" s="367" t="s">
        <v>202</v>
      </c>
      <c r="B9" s="133"/>
      <c r="C9" s="133"/>
      <c r="D9" s="668">
        <f>14208</f>
        <v>14208</v>
      </c>
      <c r="F9" s="23">
        <f>66*39.7</f>
        <v>2620.2</v>
      </c>
      <c r="H9" s="23">
        <v>45.3</v>
      </c>
    </row>
    <row r="10" spans="1:4" s="16" customFormat="1" ht="18" customHeight="1">
      <c r="A10" s="368" t="s">
        <v>73</v>
      </c>
      <c r="B10" s="134">
        <v>35000</v>
      </c>
      <c r="C10" s="134">
        <f>+B10/23.83</f>
        <v>1468.74</v>
      </c>
      <c r="D10" s="370">
        <f aca="true" t="shared" si="0" ref="D10:D17">+C10/8</f>
        <v>183.59</v>
      </c>
    </row>
    <row r="11" spans="1:5" s="16" customFormat="1" ht="18" customHeight="1">
      <c r="A11" s="367" t="s">
        <v>175</v>
      </c>
      <c r="B11" s="133">
        <f>45000+(10*Materiales!D36*23.83)</f>
        <v>94542.57</v>
      </c>
      <c r="C11" s="133">
        <f>+B11/23.83</f>
        <v>3967.38</v>
      </c>
      <c r="D11" s="369">
        <f t="shared" si="0"/>
        <v>495.92</v>
      </c>
      <c r="E11" s="16">
        <f>C11*10</f>
        <v>39673.8</v>
      </c>
    </row>
    <row r="12" spans="1:4" s="16" customFormat="1" ht="18" customHeight="1">
      <c r="A12" s="367" t="s">
        <v>176</v>
      </c>
      <c r="B12" s="133">
        <v>35000</v>
      </c>
      <c r="C12" s="133">
        <f>+B12/23.83</f>
        <v>1468.74</v>
      </c>
      <c r="D12" s="369">
        <f t="shared" si="0"/>
        <v>183.59</v>
      </c>
    </row>
    <row r="13" spans="1:4" s="16" customFormat="1" ht="18" customHeight="1">
      <c r="A13" s="367" t="s">
        <v>83</v>
      </c>
      <c r="B13" s="133">
        <f>+C13*23.83</f>
        <v>22638.5</v>
      </c>
      <c r="C13" s="133">
        <v>950</v>
      </c>
      <c r="D13" s="369">
        <f t="shared" si="0"/>
        <v>118.75</v>
      </c>
    </row>
    <row r="14" spans="1:4" s="16" customFormat="1" ht="18" customHeight="1">
      <c r="A14" s="367" t="s">
        <v>76</v>
      </c>
      <c r="B14" s="133">
        <f>+C14*23.83</f>
        <v>271066.25</v>
      </c>
      <c r="C14" s="133">
        <v>11375</v>
      </c>
      <c r="D14" s="369">
        <f t="shared" si="0"/>
        <v>1421.88</v>
      </c>
    </row>
    <row r="15" spans="1:4" s="16" customFormat="1" ht="18" customHeight="1">
      <c r="A15" s="367" t="s">
        <v>75</v>
      </c>
      <c r="B15" s="133">
        <f>+C15*23.83</f>
        <v>280927.82</v>
      </c>
      <c r="C15" s="133">
        <f>235.4*E5</f>
        <v>11788.83</v>
      </c>
      <c r="D15" s="369">
        <f t="shared" si="0"/>
        <v>1473.6</v>
      </c>
    </row>
    <row r="16" spans="1:4" s="16" customFormat="1" ht="18" customHeight="1">
      <c r="A16" s="367" t="s">
        <v>74</v>
      </c>
      <c r="B16" s="133">
        <f>+C16*23.83</f>
        <v>74564.07</v>
      </c>
      <c r="C16" s="133">
        <f>62.48*E5</f>
        <v>3129</v>
      </c>
      <c r="D16" s="369">
        <f t="shared" si="0"/>
        <v>391.13</v>
      </c>
    </row>
    <row r="17" spans="1:4" s="16" customFormat="1" ht="18" customHeight="1">
      <c r="A17" s="367" t="s">
        <v>84</v>
      </c>
      <c r="B17" s="133">
        <f>58*44.35*1.18*23.83</f>
        <v>72331.53</v>
      </c>
      <c r="C17" s="133">
        <f>+B17/23.83</f>
        <v>3035.31</v>
      </c>
      <c r="D17" s="369">
        <f t="shared" si="0"/>
        <v>379.41</v>
      </c>
    </row>
    <row r="18" spans="1:4" s="16" customFormat="1" ht="18" customHeight="1">
      <c r="A18" s="368" t="s">
        <v>248</v>
      </c>
      <c r="B18" s="134">
        <f>40000*1.18</f>
        <v>47200</v>
      </c>
      <c r="C18" s="134"/>
      <c r="D18" s="370"/>
    </row>
    <row r="19" spans="1:7" s="16" customFormat="1" ht="22.5" customHeight="1">
      <c r="A19" s="368" t="s">
        <v>664</v>
      </c>
      <c r="B19" s="134">
        <f aca="true" t="shared" si="1" ref="B19:B24">C19*23.83</f>
        <v>326442.4</v>
      </c>
      <c r="C19" s="137">
        <f aca="true" t="shared" si="2" ref="C19:C24">D19*8</f>
        <v>13698.8</v>
      </c>
      <c r="D19" s="370">
        <f>308.88*44.35/8</f>
        <v>1712.35</v>
      </c>
      <c r="E19" s="17"/>
      <c r="F19" s="17"/>
      <c r="G19" s="17"/>
    </row>
    <row r="20" spans="1:7" s="16" customFormat="1" ht="22.5" customHeight="1">
      <c r="A20" s="364" t="s">
        <v>666</v>
      </c>
      <c r="B20" s="134">
        <f t="shared" si="1"/>
        <v>4756.47</v>
      </c>
      <c r="C20" s="137">
        <f t="shared" si="2"/>
        <v>199.6</v>
      </c>
      <c r="D20" s="372">
        <f>(4.5*44.35)/8</f>
        <v>24.95</v>
      </c>
      <c r="E20" s="17"/>
      <c r="F20" s="17"/>
      <c r="G20" s="17"/>
    </row>
    <row r="21" spans="1:7" s="16" customFormat="1" ht="22.5" customHeight="1">
      <c r="A21" s="364" t="s">
        <v>667</v>
      </c>
      <c r="B21" s="134">
        <f t="shared" si="1"/>
        <v>3900.49</v>
      </c>
      <c r="C21" s="137">
        <f t="shared" si="2"/>
        <v>163.68</v>
      </c>
      <c r="D21" s="372">
        <f>(3.69*44.35)/8</f>
        <v>20.46</v>
      </c>
      <c r="E21" s="17"/>
      <c r="F21" s="17"/>
      <c r="G21" s="17"/>
    </row>
    <row r="22" spans="1:7" s="16" customFormat="1" ht="22.5" customHeight="1">
      <c r="A22" s="364" t="s">
        <v>668</v>
      </c>
      <c r="B22" s="134">
        <f t="shared" si="1"/>
        <v>4756.47</v>
      </c>
      <c r="C22" s="137">
        <f t="shared" si="2"/>
        <v>199.6</v>
      </c>
      <c r="D22" s="372">
        <f>(4.5*44.35)/8</f>
        <v>24.95</v>
      </c>
      <c r="E22" s="17"/>
      <c r="F22" s="17"/>
      <c r="G22" s="17"/>
    </row>
    <row r="23" spans="1:7" s="16" customFormat="1" ht="22.5" customHeight="1">
      <c r="A23" s="364" t="s">
        <v>663</v>
      </c>
      <c r="B23" s="134">
        <f t="shared" si="1"/>
        <v>3900.49</v>
      </c>
      <c r="C23" s="137">
        <f t="shared" si="2"/>
        <v>163.68</v>
      </c>
      <c r="D23" s="372">
        <f>(3.69*44.35)/8</f>
        <v>20.46</v>
      </c>
      <c r="E23" s="17"/>
      <c r="F23" s="17"/>
      <c r="G23" s="17"/>
    </row>
    <row r="24" spans="1:7" s="16" customFormat="1" ht="22.5" customHeight="1">
      <c r="A24" s="364" t="s">
        <v>669</v>
      </c>
      <c r="B24" s="134">
        <f t="shared" si="1"/>
        <v>3900.49</v>
      </c>
      <c r="C24" s="137">
        <f t="shared" si="2"/>
        <v>163.68</v>
      </c>
      <c r="D24" s="372">
        <f>(3.69*44.35)/8</f>
        <v>20.46</v>
      </c>
      <c r="E24" s="17"/>
      <c r="F24" s="17"/>
      <c r="G24" s="17"/>
    </row>
    <row r="25" spans="1:7" s="16" customFormat="1" ht="22.5" customHeight="1">
      <c r="A25" s="368" t="s">
        <v>205</v>
      </c>
      <c r="B25" s="134"/>
      <c r="C25" s="134">
        <v>8000</v>
      </c>
      <c r="D25" s="370"/>
      <c r="E25" s="17"/>
      <c r="F25" s="17"/>
      <c r="G25" s="17"/>
    </row>
    <row r="26" spans="1:7" s="16" customFormat="1" ht="22.5" customHeight="1">
      <c r="A26" s="368" t="s">
        <v>206</v>
      </c>
      <c r="B26" s="134"/>
      <c r="C26" s="134">
        <v>10000</v>
      </c>
      <c r="D26" s="370"/>
      <c r="E26" s="17"/>
      <c r="F26" s="17"/>
      <c r="G26" s="17"/>
    </row>
    <row r="27" spans="1:7" s="16" customFormat="1" ht="22.5" customHeight="1">
      <c r="A27" s="368" t="s">
        <v>207</v>
      </c>
      <c r="B27" s="134"/>
      <c r="C27" s="134">
        <v>25000</v>
      </c>
      <c r="D27" s="370"/>
      <c r="E27" s="17"/>
      <c r="F27" s="17"/>
      <c r="G27" s="17"/>
    </row>
    <row r="28" spans="1:7" s="16" customFormat="1" ht="22.5" customHeight="1">
      <c r="A28" s="368" t="s">
        <v>266</v>
      </c>
      <c r="B28" s="134">
        <v>4099.84</v>
      </c>
      <c r="C28" s="134"/>
      <c r="D28" s="370"/>
      <c r="E28" s="17"/>
      <c r="F28" s="17"/>
      <c r="G28" s="17"/>
    </row>
    <row r="29" spans="1:7" s="16" customFormat="1" ht="22.5" customHeight="1">
      <c r="A29" s="368" t="s">
        <v>267</v>
      </c>
      <c r="B29" s="134">
        <v>412.15</v>
      </c>
      <c r="C29" s="134"/>
      <c r="D29" s="370"/>
      <c r="E29" s="17"/>
      <c r="F29" s="17"/>
      <c r="G29" s="17"/>
    </row>
    <row r="30" spans="1:7" s="16" customFormat="1" ht="22.5" customHeight="1">
      <c r="A30" s="368" t="s">
        <v>268</v>
      </c>
      <c r="B30" s="134">
        <v>300</v>
      </c>
      <c r="C30" s="134"/>
      <c r="D30" s="370"/>
      <c r="E30" s="17"/>
      <c r="F30" s="17"/>
      <c r="G30" s="17"/>
    </row>
    <row r="31" spans="1:7" s="16" customFormat="1" ht="22.5" customHeight="1">
      <c r="A31" s="368" t="s">
        <v>274</v>
      </c>
      <c r="B31" s="134"/>
      <c r="C31" s="134"/>
      <c r="D31" s="370">
        <v>317.11</v>
      </c>
      <c r="E31" s="17"/>
      <c r="F31" s="17"/>
      <c r="G31" s="17"/>
    </row>
    <row r="32" spans="1:7" s="16" customFormat="1" ht="22.5" customHeight="1">
      <c r="A32" s="368" t="s">
        <v>277</v>
      </c>
      <c r="B32" s="134"/>
      <c r="C32" s="134">
        <f>(127*44.35+50*44.35)*1.18</f>
        <v>9262.94</v>
      </c>
      <c r="D32" s="370">
        <f>C32/44</f>
        <v>210.52</v>
      </c>
      <c r="E32" s="17"/>
      <c r="F32" s="17">
        <f>1723.92+1959</f>
        <v>3682.92</v>
      </c>
      <c r="G32" s="17"/>
    </row>
    <row r="33" spans="1:7" s="16" customFormat="1" ht="22.5" customHeight="1">
      <c r="A33" s="368" t="s">
        <v>275</v>
      </c>
      <c r="B33" s="134"/>
      <c r="C33" s="134">
        <v>500</v>
      </c>
      <c r="D33" s="370">
        <f>C33/8</f>
        <v>62.5</v>
      </c>
      <c r="E33" s="17"/>
      <c r="F33" s="17">
        <f>1723.92*1.16</f>
        <v>1999.75</v>
      </c>
      <c r="G33" s="17"/>
    </row>
    <row r="34" spans="1:7" s="16" customFormat="1" ht="22.5" customHeight="1">
      <c r="A34" s="368" t="s">
        <v>276</v>
      </c>
      <c r="B34" s="134"/>
      <c r="C34" s="134">
        <v>800</v>
      </c>
      <c r="D34" s="370">
        <f>C34/8</f>
        <v>100</v>
      </c>
      <c r="E34" s="17"/>
      <c r="F34" s="17">
        <v>1959</v>
      </c>
      <c r="G34" s="17"/>
    </row>
    <row r="35" spans="1:7" s="16" customFormat="1" ht="22.5" customHeight="1">
      <c r="A35" s="368" t="s">
        <v>713</v>
      </c>
      <c r="B35" s="134">
        <f>24000*1.18</f>
        <v>28320</v>
      </c>
      <c r="C35" s="134">
        <f>26000*1.18</f>
        <v>30680</v>
      </c>
      <c r="D35" s="370" t="s">
        <v>715</v>
      </c>
      <c r="E35" s="17"/>
      <c r="F35" s="17">
        <f>F33+F34</f>
        <v>3958.75</v>
      </c>
      <c r="G35" s="17"/>
    </row>
    <row r="36" spans="1:7" s="16" customFormat="1" ht="22.5" customHeight="1">
      <c r="A36" s="368" t="s">
        <v>714</v>
      </c>
      <c r="B36" s="134">
        <f>14000*1.18</f>
        <v>16520</v>
      </c>
      <c r="C36" s="134"/>
      <c r="D36" s="370"/>
      <c r="E36" s="17"/>
      <c r="F36" s="17"/>
      <c r="G36" s="17"/>
    </row>
    <row r="37" spans="1:12" s="16" customFormat="1" ht="22.5" customHeight="1">
      <c r="A37" s="368" t="s">
        <v>224</v>
      </c>
      <c r="B37" s="134">
        <f>(1789.2*1.18*44.35)+(0.4*Materiales!D37+0.2*0.4*Materiales!D37)</f>
        <v>93741.39</v>
      </c>
      <c r="C37" s="134">
        <f>B37/23.83</f>
        <v>3933.76</v>
      </c>
      <c r="D37" s="370">
        <f>C37/8</f>
        <v>491.72</v>
      </c>
      <c r="E37" s="17"/>
      <c r="F37" s="17"/>
      <c r="G37" s="354" t="s">
        <v>766</v>
      </c>
      <c r="H37" s="355"/>
      <c r="I37" s="355"/>
      <c r="J37" s="355"/>
      <c r="K37" s="355">
        <f>23.85*522.56*1.18*43.85/7+(2.5*239.5)</f>
        <v>92723.88</v>
      </c>
      <c r="L37" s="16" t="s">
        <v>768</v>
      </c>
    </row>
    <row r="38" spans="1:11" s="16" customFormat="1" ht="22.5" customHeight="1">
      <c r="A38" s="368" t="s">
        <v>800</v>
      </c>
      <c r="B38" s="134">
        <f>1342.2*E5</f>
        <v>67217.38</v>
      </c>
      <c r="C38" s="134">
        <f>B38/23.83</f>
        <v>2820.7</v>
      </c>
      <c r="D38" s="370">
        <f>C38/8</f>
        <v>352.59</v>
      </c>
      <c r="E38" s="17"/>
      <c r="F38" s="17"/>
      <c r="G38" s="354"/>
      <c r="H38" s="355"/>
      <c r="I38" s="355"/>
      <c r="J38" s="355"/>
      <c r="K38" s="355"/>
    </row>
    <row r="39" spans="1:11" s="16" customFormat="1" ht="22.5" customHeight="1">
      <c r="A39" s="368" t="s">
        <v>224</v>
      </c>
      <c r="B39" s="134"/>
      <c r="C39" s="134"/>
      <c r="D39" s="370"/>
      <c r="E39" s="17"/>
      <c r="F39" s="17"/>
      <c r="G39" s="354"/>
      <c r="H39" s="355" t="s">
        <v>767</v>
      </c>
      <c r="I39" s="355"/>
      <c r="J39" s="355"/>
      <c r="K39" s="355"/>
    </row>
    <row r="40" spans="1:7" s="16" customFormat="1" ht="22.5" customHeight="1" thickBot="1">
      <c r="A40" s="365" t="s">
        <v>801</v>
      </c>
      <c r="B40" s="132">
        <f>10000</f>
        <v>10000</v>
      </c>
      <c r="C40" s="132"/>
      <c r="D40" s="366"/>
      <c r="E40" s="17"/>
      <c r="F40" s="17">
        <f>1342.2*46.5/23.83/8</f>
        <v>327.38</v>
      </c>
      <c r="G40" s="17"/>
    </row>
    <row r="41" ht="22.5" customHeight="1">
      <c r="H41" s="11">
        <f>522.56*1.18*43.85/7</f>
        <v>3862.69</v>
      </c>
    </row>
    <row r="42" ht="22.5" customHeight="1">
      <c r="F42" s="11">
        <f>10*0.04</f>
        <v>0.4</v>
      </c>
    </row>
  </sheetData>
  <sheetProtection/>
  <mergeCells count="2">
    <mergeCell ref="A1:D1"/>
    <mergeCell ref="B5:D5"/>
  </mergeCells>
  <printOptions horizontalCentered="1"/>
  <pageMargins left="0.7480314960629921" right="0.7480314960629921" top="0.15748031496062992" bottom="0.7480314960629921" header="0.15748031496062992" footer="0.2362204724409449"/>
  <pageSetup horizontalDpi="300" verticalDpi="300" orientation="landscape" r:id="rId1"/>
  <headerFooter alignWithMargins="0">
    <oddFooter>&amp;L&amp;9&amp;F / AGO/2005&amp;C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IU149"/>
  <sheetViews>
    <sheetView tabSelected="1" view="pageBreakPreview" zoomScale="110" zoomScaleNormal="75" zoomScaleSheetLayoutView="110" workbookViewId="0" topLeftCell="A64">
      <selection activeCell="C111" sqref="C111"/>
    </sheetView>
  </sheetViews>
  <sheetFormatPr defaultColWidth="10.7109375" defaultRowHeight="12.75"/>
  <cols>
    <col min="1" max="1" width="2.421875" style="545" customWidth="1"/>
    <col min="2" max="2" width="9.8515625" style="561" customWidth="1"/>
    <col min="3" max="3" width="64.7109375" style="545" customWidth="1"/>
    <col min="4" max="4" width="14.57421875" style="561" customWidth="1"/>
    <col min="5" max="5" width="18.28125" style="338" customWidth="1"/>
    <col min="6" max="6" width="19.140625" style="752" customWidth="1"/>
    <col min="7" max="7" width="23.7109375" style="562" customWidth="1"/>
    <col min="8" max="8" width="19.00390625" style="361" customWidth="1"/>
    <col min="9" max="9" width="18.7109375" style="666" customWidth="1"/>
    <col min="10" max="10" width="37.28125" style="619" customWidth="1"/>
    <col min="11" max="11" width="18.57421875" style="545" customWidth="1"/>
    <col min="12" max="12" width="17.57421875" style="545" customWidth="1"/>
    <col min="13" max="13" width="19.00390625" style="545" bestFit="1" customWidth="1"/>
    <col min="14" max="14" width="10.7109375" style="545" customWidth="1"/>
    <col min="15" max="15" width="14.8515625" style="545" bestFit="1" customWidth="1"/>
    <col min="16" max="16384" width="10.7109375" style="545" customWidth="1"/>
  </cols>
  <sheetData>
    <row r="1" spans="2:10" s="542" customFormat="1" ht="15.75" customHeight="1">
      <c r="B1" s="535"/>
      <c r="C1" s="535"/>
      <c r="D1" s="536"/>
      <c r="E1" s="537"/>
      <c r="F1" s="749"/>
      <c r="G1" s="538"/>
      <c r="H1" s="539"/>
      <c r="I1" s="540"/>
      <c r="J1" s="541"/>
    </row>
    <row r="2" spans="2:10" ht="15">
      <c r="B2" s="830" t="s">
        <v>789</v>
      </c>
      <c r="C2" s="830"/>
      <c r="D2" s="830"/>
      <c r="E2" s="830"/>
      <c r="F2" s="830"/>
      <c r="G2" s="830"/>
      <c r="H2" s="830"/>
      <c r="I2" s="544"/>
      <c r="J2" s="543"/>
    </row>
    <row r="3" spans="2:10" ht="15">
      <c r="B3" s="830" t="s">
        <v>790</v>
      </c>
      <c r="C3" s="830"/>
      <c r="D3" s="830"/>
      <c r="E3" s="830"/>
      <c r="F3" s="830"/>
      <c r="G3" s="830"/>
      <c r="H3" s="830"/>
      <c r="I3" s="544"/>
      <c r="J3" s="543"/>
    </row>
    <row r="4" spans="2:10" ht="15">
      <c r="B4" s="830" t="s">
        <v>791</v>
      </c>
      <c r="C4" s="830"/>
      <c r="D4" s="830"/>
      <c r="E4" s="830"/>
      <c r="F4" s="830"/>
      <c r="G4" s="830"/>
      <c r="H4" s="830"/>
      <c r="I4" s="544"/>
      <c r="J4" s="543"/>
    </row>
    <row r="5" spans="2:10" s="542" customFormat="1" ht="15" customHeight="1">
      <c r="B5" s="546"/>
      <c r="C5" s="547"/>
      <c r="D5" s="548"/>
      <c r="E5" s="549"/>
      <c r="F5" s="750"/>
      <c r="G5" s="550"/>
      <c r="H5" s="551"/>
      <c r="I5" s="540"/>
      <c r="J5" s="541"/>
    </row>
    <row r="6" spans="2:10" s="560" customFormat="1" ht="6" customHeight="1">
      <c r="B6" s="552"/>
      <c r="C6" s="553"/>
      <c r="D6" s="554"/>
      <c r="E6" s="555"/>
      <c r="F6" s="751"/>
      <c r="G6" s="556"/>
      <c r="H6" s="557"/>
      <c r="I6" s="558"/>
      <c r="J6" s="559"/>
    </row>
    <row r="7" spans="7:10" ht="18.75" customHeight="1">
      <c r="G7" s="747" t="s">
        <v>792</v>
      </c>
      <c r="H7" s="748">
        <v>43405</v>
      </c>
      <c r="I7" s="563"/>
      <c r="J7" s="564"/>
    </row>
    <row r="8" spans="2:10" ht="16.5" customHeight="1">
      <c r="B8" s="565"/>
      <c r="C8" s="566"/>
      <c r="D8" s="566"/>
      <c r="E8" s="567"/>
      <c r="F8" s="753"/>
      <c r="G8" s="567"/>
      <c r="H8" s="568"/>
      <c r="I8" s="569"/>
      <c r="J8" s="337"/>
    </row>
    <row r="9" spans="2:10" ht="27.75" customHeight="1">
      <c r="B9" s="831" t="s">
        <v>1141</v>
      </c>
      <c r="C9" s="831"/>
      <c r="D9" s="831"/>
      <c r="E9" s="831"/>
      <c r="F9" s="831"/>
      <c r="G9" s="831"/>
      <c r="H9" s="831"/>
      <c r="I9" s="569"/>
      <c r="J9" s="337"/>
    </row>
    <row r="10" spans="2:13" ht="14.25" customHeight="1" thickBot="1">
      <c r="B10" s="118"/>
      <c r="C10" s="561"/>
      <c r="G10" s="338"/>
      <c r="H10" s="339"/>
      <c r="I10" s="570"/>
      <c r="J10" s="561"/>
      <c r="M10" s="571"/>
    </row>
    <row r="11" spans="2:10" s="579" customFormat="1" ht="19.5" customHeight="1" thickBot="1">
      <c r="B11" s="572" t="s">
        <v>769</v>
      </c>
      <c r="C11" s="573" t="s">
        <v>770</v>
      </c>
      <c r="D11" s="572" t="s">
        <v>100</v>
      </c>
      <c r="E11" s="574" t="s">
        <v>659</v>
      </c>
      <c r="F11" s="783" t="s">
        <v>771</v>
      </c>
      <c r="G11" s="575" t="s">
        <v>419</v>
      </c>
      <c r="H11" s="576" t="s">
        <v>772</v>
      </c>
      <c r="I11" s="577"/>
      <c r="J11" s="578"/>
    </row>
    <row r="12" spans="2:10" s="579" customFormat="1" ht="17.25" customHeight="1">
      <c r="B12" s="580"/>
      <c r="C12" s="581"/>
      <c r="D12" s="580"/>
      <c r="E12" s="58"/>
      <c r="F12" s="754"/>
      <c r="G12" s="58"/>
      <c r="H12" s="58"/>
      <c r="I12" s="577"/>
      <c r="J12" s="578"/>
    </row>
    <row r="13" spans="2:10" s="710" customFormat="1" ht="21.75" customHeight="1">
      <c r="B13" s="708"/>
      <c r="C13" s="709" t="s">
        <v>1083</v>
      </c>
      <c r="D13" s="715" t="s">
        <v>1085</v>
      </c>
      <c r="E13" s="608"/>
      <c r="F13" s="755"/>
      <c r="G13" s="667" t="s">
        <v>1087</v>
      </c>
      <c r="H13" s="667"/>
      <c r="I13" s="577"/>
      <c r="J13" s="577"/>
    </row>
    <row r="14" spans="2:10" s="579" customFormat="1" ht="17.25" customHeight="1">
      <c r="B14" s="580"/>
      <c r="C14" s="582" t="s">
        <v>1084</v>
      </c>
      <c r="D14" s="582" t="s">
        <v>1086</v>
      </c>
      <c r="E14" s="582"/>
      <c r="F14" s="754"/>
      <c r="G14" s="58" t="s">
        <v>1088</v>
      </c>
      <c r="H14" s="58"/>
      <c r="I14" s="577"/>
      <c r="J14" s="578"/>
    </row>
    <row r="15" spans="2:10" s="579" customFormat="1" ht="8.25" customHeight="1">
      <c r="B15" s="580"/>
      <c r="C15" s="582"/>
      <c r="D15" s="580"/>
      <c r="E15" s="582"/>
      <c r="F15" s="754"/>
      <c r="G15" s="58"/>
      <c r="H15" s="58"/>
      <c r="I15" s="577"/>
      <c r="J15" s="578"/>
    </row>
    <row r="16" spans="2:10" s="588" customFormat="1" ht="21" customHeight="1">
      <c r="B16" s="584" t="s">
        <v>773</v>
      </c>
      <c r="C16" s="585" t="s">
        <v>774</v>
      </c>
      <c r="D16" s="584"/>
      <c r="E16" s="144"/>
      <c r="F16" s="756"/>
      <c r="G16" s="142">
        <f>IF(ROUND(E16*F16,2)=0,"",ROUND(E16*F16,2))</f>
      </c>
      <c r="H16" s="142"/>
      <c r="I16" s="586"/>
      <c r="J16" s="587"/>
    </row>
    <row r="17" spans="2:15" s="596" customFormat="1" ht="21" customHeight="1">
      <c r="B17" s="589" t="s">
        <v>775</v>
      </c>
      <c r="C17" s="590" t="s">
        <v>892</v>
      </c>
      <c r="D17" s="589" t="s">
        <v>1089</v>
      </c>
      <c r="E17" s="591">
        <v>3.38</v>
      </c>
      <c r="F17" s="784"/>
      <c r="G17" s="592"/>
      <c r="H17" s="593"/>
      <c r="I17" s="594"/>
      <c r="J17" s="594"/>
      <c r="K17" s="595"/>
      <c r="O17" s="597">
        <v>7016835.5</v>
      </c>
    </row>
    <row r="18" spans="2:15" s="596" customFormat="1" ht="21" customHeight="1">
      <c r="B18" s="589" t="s">
        <v>832</v>
      </c>
      <c r="C18" s="598" t="s">
        <v>833</v>
      </c>
      <c r="D18" s="589" t="s">
        <v>101</v>
      </c>
      <c r="E18" s="591">
        <v>1</v>
      </c>
      <c r="F18" s="784"/>
      <c r="G18" s="592"/>
      <c r="H18" s="599"/>
      <c r="I18" s="594"/>
      <c r="J18" s="600"/>
      <c r="K18" s="595"/>
      <c r="O18" s="597"/>
    </row>
    <row r="19" spans="2:15" s="596" customFormat="1" ht="21" customHeight="1">
      <c r="B19" s="589" t="s">
        <v>834</v>
      </c>
      <c r="C19" s="598" t="s">
        <v>835</v>
      </c>
      <c r="D19" s="589" t="s">
        <v>101</v>
      </c>
      <c r="E19" s="591">
        <v>1</v>
      </c>
      <c r="F19" s="784"/>
      <c r="G19" s="592"/>
      <c r="H19" s="599"/>
      <c r="I19" s="594"/>
      <c r="J19" s="594"/>
      <c r="K19" s="595"/>
      <c r="O19" s="597"/>
    </row>
    <row r="20" spans="2:15" ht="10.5" customHeight="1">
      <c r="B20" s="601"/>
      <c r="C20" s="602"/>
      <c r="D20" s="601"/>
      <c r="E20" s="128"/>
      <c r="F20" s="757"/>
      <c r="G20" s="592"/>
      <c r="H20" s="142"/>
      <c r="I20" s="594"/>
      <c r="J20" s="603"/>
      <c r="K20" s="571"/>
      <c r="O20" s="604"/>
    </row>
    <row r="21" spans="2:10" s="588" customFormat="1" ht="21" customHeight="1">
      <c r="B21" s="584" t="s">
        <v>776</v>
      </c>
      <c r="C21" s="585" t="s">
        <v>777</v>
      </c>
      <c r="D21" s="584"/>
      <c r="E21" s="144"/>
      <c r="F21" s="756"/>
      <c r="G21" s="592"/>
      <c r="H21" s="142"/>
      <c r="I21" s="594"/>
      <c r="J21" s="587"/>
    </row>
    <row r="22" spans="2:10" s="596" customFormat="1" ht="21" customHeight="1">
      <c r="B22" s="589" t="s">
        <v>893</v>
      </c>
      <c r="C22" s="598" t="s">
        <v>1044</v>
      </c>
      <c r="D22" s="589" t="s">
        <v>716</v>
      </c>
      <c r="E22" s="591">
        <v>0.2</v>
      </c>
      <c r="F22" s="784"/>
      <c r="G22" s="592"/>
      <c r="H22" s="599"/>
      <c r="I22" s="594"/>
      <c r="J22" s="600"/>
    </row>
    <row r="23" spans="2:10" s="596" customFormat="1" ht="21" customHeight="1">
      <c r="B23" s="589" t="s">
        <v>1090</v>
      </c>
      <c r="C23" s="598" t="s">
        <v>1091</v>
      </c>
      <c r="D23" s="589" t="s">
        <v>92</v>
      </c>
      <c r="E23" s="591">
        <v>92</v>
      </c>
      <c r="F23" s="784"/>
      <c r="G23" s="592"/>
      <c r="H23" s="599"/>
      <c r="I23" s="594"/>
      <c r="J23" s="600"/>
    </row>
    <row r="24" spans="2:10" s="596" customFormat="1" ht="21" customHeight="1">
      <c r="B24" s="589" t="s">
        <v>1092</v>
      </c>
      <c r="C24" s="598" t="s">
        <v>1093</v>
      </c>
      <c r="D24" s="589" t="s">
        <v>101</v>
      </c>
      <c r="E24" s="591">
        <v>1</v>
      </c>
      <c r="F24" s="784"/>
      <c r="G24" s="592"/>
      <c r="H24" s="599"/>
      <c r="I24" s="594"/>
      <c r="J24" s="600"/>
    </row>
    <row r="25" spans="2:10" s="596" customFormat="1" ht="21" customHeight="1">
      <c r="B25" s="589" t="s">
        <v>1094</v>
      </c>
      <c r="C25" s="598" t="s">
        <v>1140</v>
      </c>
      <c r="D25" s="589" t="s">
        <v>92</v>
      </c>
      <c r="E25" s="591">
        <v>150</v>
      </c>
      <c r="F25" s="784"/>
      <c r="G25" s="592"/>
      <c r="H25" s="599"/>
      <c r="I25" s="594"/>
      <c r="J25" s="600"/>
    </row>
    <row r="26" spans="2:10" s="596" customFormat="1" ht="21" customHeight="1">
      <c r="B26" s="589" t="s">
        <v>1129</v>
      </c>
      <c r="C26" s="598" t="s">
        <v>1095</v>
      </c>
      <c r="D26" s="589" t="s">
        <v>100</v>
      </c>
      <c r="E26" s="591">
        <v>16</v>
      </c>
      <c r="F26" s="784"/>
      <c r="G26" s="592"/>
      <c r="H26" s="599"/>
      <c r="I26" s="594"/>
      <c r="J26" s="600"/>
    </row>
    <row r="27" spans="2:10" s="596" customFormat="1" ht="21" customHeight="1">
      <c r="B27" s="589" t="s">
        <v>1096</v>
      </c>
      <c r="C27" s="598" t="s">
        <v>1097</v>
      </c>
      <c r="D27" s="589" t="s">
        <v>98</v>
      </c>
      <c r="E27" s="591">
        <v>13.5</v>
      </c>
      <c r="F27" s="784"/>
      <c r="G27" s="592"/>
      <c r="H27" s="599"/>
      <c r="I27" s="594"/>
      <c r="J27" s="600"/>
    </row>
    <row r="28" spans="2:10" s="596" customFormat="1" ht="21" customHeight="1">
      <c r="B28" s="589" t="s">
        <v>1098</v>
      </c>
      <c r="C28" s="598" t="s">
        <v>1099</v>
      </c>
      <c r="D28" s="589" t="s">
        <v>98</v>
      </c>
      <c r="E28" s="591">
        <v>375.64</v>
      </c>
      <c r="F28" s="784"/>
      <c r="G28" s="592"/>
      <c r="H28" s="599"/>
      <c r="I28" s="594"/>
      <c r="J28" s="600"/>
    </row>
    <row r="29" spans="2:10" s="596" customFormat="1" ht="21" customHeight="1">
      <c r="B29" s="589" t="s">
        <v>1100</v>
      </c>
      <c r="C29" s="598" t="s">
        <v>1101</v>
      </c>
      <c r="D29" s="589" t="s">
        <v>98</v>
      </c>
      <c r="E29" s="591">
        <v>82.6</v>
      </c>
      <c r="F29" s="784"/>
      <c r="G29" s="592"/>
      <c r="H29" s="599"/>
      <c r="I29" s="594"/>
      <c r="J29" s="600"/>
    </row>
    <row r="30" spans="2:10" s="596" customFormat="1" ht="21" customHeight="1">
      <c r="B30" s="589" t="s">
        <v>1102</v>
      </c>
      <c r="C30" s="598" t="s">
        <v>1103</v>
      </c>
      <c r="D30" s="589"/>
      <c r="E30" s="591"/>
      <c r="F30" s="676"/>
      <c r="G30" s="592"/>
      <c r="H30" s="599"/>
      <c r="I30" s="594"/>
      <c r="J30" s="600"/>
    </row>
    <row r="31" spans="2:10" s="596" customFormat="1" ht="21" customHeight="1">
      <c r="B31" s="589" t="s">
        <v>836</v>
      </c>
      <c r="C31" s="598" t="s">
        <v>1104</v>
      </c>
      <c r="D31" s="589" t="s">
        <v>691</v>
      </c>
      <c r="E31" s="591">
        <v>3694</v>
      </c>
      <c r="F31" s="784"/>
      <c r="G31" s="592"/>
      <c r="H31" s="599"/>
      <c r="I31" s="594"/>
      <c r="J31" s="600"/>
    </row>
    <row r="32" spans="2:10" s="608" customFormat="1" ht="21" customHeight="1">
      <c r="B32" s="605" t="s">
        <v>875</v>
      </c>
      <c r="C32" s="590" t="s">
        <v>857</v>
      </c>
      <c r="D32" s="605"/>
      <c r="E32" s="512"/>
      <c r="F32" s="676"/>
      <c r="G32" s="592"/>
      <c r="H32" s="606"/>
      <c r="I32" s="594"/>
      <c r="J32" s="607"/>
    </row>
    <row r="33" spans="2:10" s="608" customFormat="1" ht="20.25" customHeight="1">
      <c r="B33" s="605" t="s">
        <v>841</v>
      </c>
      <c r="C33" s="590" t="s">
        <v>858</v>
      </c>
      <c r="D33" s="605" t="s">
        <v>691</v>
      </c>
      <c r="E33" s="512">
        <v>5637.11</v>
      </c>
      <c r="F33" s="784"/>
      <c r="G33" s="592"/>
      <c r="H33" s="606"/>
      <c r="I33" s="594"/>
      <c r="J33" s="607"/>
    </row>
    <row r="34" spans="2:10" ht="16.5" customHeight="1">
      <c r="B34" s="601" t="s">
        <v>837</v>
      </c>
      <c r="C34" s="602" t="s">
        <v>838</v>
      </c>
      <c r="D34" s="601" t="s">
        <v>691</v>
      </c>
      <c r="E34" s="112">
        <v>2922.36</v>
      </c>
      <c r="F34" s="785"/>
      <c r="G34" s="592"/>
      <c r="H34" s="142"/>
      <c r="I34" s="594"/>
      <c r="J34" s="603"/>
    </row>
    <row r="35" spans="2:10" ht="21" customHeight="1">
      <c r="B35" s="601" t="s">
        <v>839</v>
      </c>
      <c r="C35" s="602" t="s">
        <v>840</v>
      </c>
      <c r="D35" s="601"/>
      <c r="E35" s="128"/>
      <c r="F35" s="758"/>
      <c r="G35" s="592"/>
      <c r="H35" s="142"/>
      <c r="I35" s="594"/>
      <c r="J35" s="603"/>
    </row>
    <row r="36" spans="2:10" ht="21" customHeight="1">
      <c r="B36" s="601" t="s">
        <v>841</v>
      </c>
      <c r="C36" s="602" t="s">
        <v>842</v>
      </c>
      <c r="D36" s="601" t="s">
        <v>164</v>
      </c>
      <c r="E36" s="112">
        <v>1298.62</v>
      </c>
      <c r="F36" s="785"/>
      <c r="G36" s="592"/>
      <c r="H36" s="142"/>
      <c r="I36" s="594"/>
      <c r="J36" s="603"/>
    </row>
    <row r="37" spans="2:10" ht="21" customHeight="1">
      <c r="B37" s="601" t="s">
        <v>836</v>
      </c>
      <c r="C37" s="602" t="s">
        <v>1035</v>
      </c>
      <c r="D37" s="601" t="s">
        <v>164</v>
      </c>
      <c r="E37" s="112">
        <v>1515.5</v>
      </c>
      <c r="F37" s="786"/>
      <c r="G37" s="592"/>
      <c r="H37" s="142"/>
      <c r="I37" s="594"/>
      <c r="J37" s="603"/>
    </row>
    <row r="38" spans="2:10" s="608" customFormat="1" ht="20.25" customHeight="1">
      <c r="B38" s="605" t="s">
        <v>1105</v>
      </c>
      <c r="C38" s="590" t="s">
        <v>1106</v>
      </c>
      <c r="D38" s="605" t="s">
        <v>92</v>
      </c>
      <c r="E38" s="512">
        <v>600</v>
      </c>
      <c r="F38" s="784"/>
      <c r="G38" s="592"/>
      <c r="H38" s="606"/>
      <c r="I38" s="594"/>
      <c r="J38" s="607"/>
    </row>
    <row r="39" spans="2:9" ht="17.25" customHeight="1">
      <c r="B39" s="561" t="s">
        <v>1107</v>
      </c>
      <c r="C39" s="545" t="s">
        <v>1108</v>
      </c>
      <c r="D39" s="561" t="s">
        <v>691</v>
      </c>
      <c r="E39" s="338">
        <v>112.39</v>
      </c>
      <c r="F39" s="787"/>
      <c r="G39" s="592"/>
      <c r="I39" s="594"/>
    </row>
    <row r="40" spans="2:10" ht="21" customHeight="1">
      <c r="B40" s="601" t="s">
        <v>843</v>
      </c>
      <c r="C40" s="602" t="s">
        <v>844</v>
      </c>
      <c r="D40" s="601" t="s">
        <v>167</v>
      </c>
      <c r="E40" s="128">
        <v>22429.32</v>
      </c>
      <c r="F40" s="785"/>
      <c r="G40" s="592"/>
      <c r="H40" s="142"/>
      <c r="I40" s="594"/>
      <c r="J40" s="603"/>
    </row>
    <row r="41" spans="2:10" ht="21" customHeight="1">
      <c r="B41" s="601" t="s">
        <v>804</v>
      </c>
      <c r="C41" s="602" t="s">
        <v>1109</v>
      </c>
      <c r="D41" s="601"/>
      <c r="E41" s="128"/>
      <c r="F41" s="758"/>
      <c r="G41" s="592"/>
      <c r="H41" s="142"/>
      <c r="I41" s="594"/>
      <c r="J41" s="603"/>
    </row>
    <row r="42" spans="2:10" ht="21" customHeight="1">
      <c r="B42" s="601" t="s">
        <v>894</v>
      </c>
      <c r="C42" s="602" t="s">
        <v>1110</v>
      </c>
      <c r="D42" s="601" t="s">
        <v>845</v>
      </c>
      <c r="E42" s="112">
        <v>7550.81</v>
      </c>
      <c r="F42" s="786"/>
      <c r="G42" s="592"/>
      <c r="H42" s="142"/>
      <c r="I42" s="594"/>
      <c r="J42" s="603"/>
    </row>
    <row r="43" spans="2:10" ht="21" customHeight="1">
      <c r="B43" s="609" t="s">
        <v>836</v>
      </c>
      <c r="C43" s="610" t="s">
        <v>1112</v>
      </c>
      <c r="D43" s="601" t="s">
        <v>845</v>
      </c>
      <c r="E43" s="112">
        <v>218980.32</v>
      </c>
      <c r="F43" s="786"/>
      <c r="G43" s="592"/>
      <c r="H43" s="142"/>
      <c r="I43" s="594"/>
      <c r="J43" s="603"/>
    </row>
    <row r="44" spans="2:10" ht="21" customHeight="1">
      <c r="B44" s="609" t="s">
        <v>876</v>
      </c>
      <c r="C44" s="610" t="s">
        <v>859</v>
      </c>
      <c r="D44" s="601" t="str">
        <f>+D43</f>
        <v>M3e-Hm</v>
      </c>
      <c r="E44" s="112">
        <v>378723.6</v>
      </c>
      <c r="F44" s="786"/>
      <c r="G44" s="592"/>
      <c r="H44" s="142"/>
      <c r="I44" s="594"/>
      <c r="J44" s="603"/>
    </row>
    <row r="45" spans="2:10" s="608" customFormat="1" ht="21" customHeight="1">
      <c r="B45" s="605" t="s">
        <v>876</v>
      </c>
      <c r="C45" s="610" t="s">
        <v>1111</v>
      </c>
      <c r="D45" s="605" t="str">
        <f>+D42</f>
        <v>M3e-Hm</v>
      </c>
      <c r="E45" s="512">
        <v>35637.65</v>
      </c>
      <c r="F45" s="784"/>
      <c r="G45" s="592"/>
      <c r="H45" s="606"/>
      <c r="I45" s="594"/>
      <c r="J45" s="607"/>
    </row>
    <row r="46" spans="2:9" ht="18.75" customHeight="1">
      <c r="B46" s="561" t="s">
        <v>890</v>
      </c>
      <c r="C46" s="545" t="s">
        <v>891</v>
      </c>
      <c r="D46" s="561" t="str">
        <f>D45</f>
        <v>M3e-Hm</v>
      </c>
      <c r="E46" s="338">
        <v>18798.08</v>
      </c>
      <c r="F46" s="787"/>
      <c r="G46" s="592"/>
      <c r="I46" s="594"/>
    </row>
    <row r="47" spans="2:10" ht="21" customHeight="1">
      <c r="B47" s="601" t="s">
        <v>846</v>
      </c>
      <c r="C47" s="610" t="s">
        <v>1113</v>
      </c>
      <c r="D47" s="601" t="s">
        <v>847</v>
      </c>
      <c r="E47" s="112">
        <v>15196.25</v>
      </c>
      <c r="F47" s="786"/>
      <c r="G47" s="592"/>
      <c r="H47" s="142"/>
      <c r="I47" s="594"/>
      <c r="J47" s="603"/>
    </row>
    <row r="48" spans="2:10" s="583" customFormat="1" ht="21" customHeight="1">
      <c r="B48" s="609" t="s">
        <v>848</v>
      </c>
      <c r="C48" s="610" t="s">
        <v>1114</v>
      </c>
      <c r="D48" s="609" t="str">
        <f>D47</f>
        <v>M3e-Km</v>
      </c>
      <c r="E48" s="112">
        <v>163840.66</v>
      </c>
      <c r="F48" s="786"/>
      <c r="G48" s="592"/>
      <c r="H48" s="488"/>
      <c r="I48" s="594"/>
      <c r="J48" s="616"/>
    </row>
    <row r="49" spans="2:10" s="608" customFormat="1" ht="22.5" customHeight="1">
      <c r="B49" s="605" t="s">
        <v>877</v>
      </c>
      <c r="C49" s="590" t="s">
        <v>878</v>
      </c>
      <c r="D49" s="605" t="s">
        <v>691</v>
      </c>
      <c r="E49" s="512">
        <v>279.8</v>
      </c>
      <c r="F49" s="784"/>
      <c r="G49" s="592"/>
      <c r="H49" s="606"/>
      <c r="I49" s="594"/>
      <c r="J49" s="607"/>
    </row>
    <row r="50" spans="2:10" ht="18" customHeight="1">
      <c r="B50" s="609" t="s">
        <v>849</v>
      </c>
      <c r="C50" s="610" t="s">
        <v>850</v>
      </c>
      <c r="D50" s="609" t="s">
        <v>167</v>
      </c>
      <c r="E50" s="112">
        <v>33048.3</v>
      </c>
      <c r="F50" s="786"/>
      <c r="G50" s="592"/>
      <c r="H50" s="142"/>
      <c r="I50" s="594"/>
      <c r="J50" s="589"/>
    </row>
    <row r="51" spans="7:9" ht="12.75">
      <c r="G51" s="592"/>
      <c r="I51" s="594"/>
    </row>
    <row r="52" spans="2:10" s="593" customFormat="1" ht="18.75" customHeight="1">
      <c r="B52" s="611" t="s">
        <v>778</v>
      </c>
      <c r="C52" s="612" t="s">
        <v>851</v>
      </c>
      <c r="D52" s="611"/>
      <c r="E52" s="667"/>
      <c r="F52" s="759"/>
      <c r="G52" s="592"/>
      <c r="H52" s="599"/>
      <c r="I52" s="594"/>
      <c r="J52" s="586"/>
    </row>
    <row r="53" spans="2:15" s="608" customFormat="1" ht="24.75" customHeight="1">
      <c r="B53" s="605" t="s">
        <v>1079</v>
      </c>
      <c r="C53" s="688" t="s">
        <v>1054</v>
      </c>
      <c r="D53" s="605" t="s">
        <v>164</v>
      </c>
      <c r="E53" s="512">
        <v>4816.01</v>
      </c>
      <c r="F53" s="784"/>
      <c r="G53" s="592"/>
      <c r="H53" s="606"/>
      <c r="I53" s="594"/>
      <c r="J53" s="607"/>
      <c r="K53" s="617"/>
      <c r="O53" s="618"/>
    </row>
    <row r="54" spans="2:15" ht="18" customHeight="1">
      <c r="B54" s="601"/>
      <c r="C54" s="602"/>
      <c r="D54" s="601"/>
      <c r="E54" s="112"/>
      <c r="F54" s="757"/>
      <c r="G54" s="592"/>
      <c r="H54" s="142"/>
      <c r="I54" s="594"/>
      <c r="J54" s="603"/>
      <c r="K54" s="571"/>
      <c r="O54" s="604"/>
    </row>
    <row r="55" spans="2:15" s="593" customFormat="1" ht="21" customHeight="1">
      <c r="B55" s="611" t="s">
        <v>779</v>
      </c>
      <c r="C55" s="612" t="s">
        <v>852</v>
      </c>
      <c r="D55" s="611"/>
      <c r="E55" s="667"/>
      <c r="F55" s="760"/>
      <c r="G55" s="592"/>
      <c r="H55" s="599"/>
      <c r="I55" s="594"/>
      <c r="J55" s="586"/>
      <c r="K55" s="614"/>
      <c r="O55" s="615"/>
    </row>
    <row r="56" spans="2:15" s="596" customFormat="1" ht="21" customHeight="1">
      <c r="B56" s="601" t="s">
        <v>853</v>
      </c>
      <c r="C56" s="598" t="s">
        <v>1136</v>
      </c>
      <c r="D56" s="589" t="s">
        <v>167</v>
      </c>
      <c r="E56" s="512">
        <v>22429.32</v>
      </c>
      <c r="F56" s="784"/>
      <c r="G56" s="592"/>
      <c r="I56" s="594"/>
      <c r="J56" s="594"/>
      <c r="K56" s="595"/>
      <c r="O56" s="597"/>
    </row>
    <row r="57" spans="2:15" s="715" customFormat="1" ht="21" customHeight="1">
      <c r="B57" s="605">
        <v>4.5</v>
      </c>
      <c r="C57" s="590" t="s">
        <v>1115</v>
      </c>
      <c r="D57" s="605" t="s">
        <v>101</v>
      </c>
      <c r="E57" s="512">
        <v>1</v>
      </c>
      <c r="F57" s="784"/>
      <c r="G57" s="592"/>
      <c r="H57" s="599"/>
      <c r="I57" s="594"/>
      <c r="J57" s="713"/>
      <c r="K57" s="714"/>
      <c r="O57" s="716"/>
    </row>
    <row r="58" spans="7:9" ht="18" customHeight="1">
      <c r="G58" s="592"/>
      <c r="I58" s="594"/>
    </row>
    <row r="59" spans="2:10" s="593" customFormat="1" ht="21" customHeight="1">
      <c r="B59" s="611" t="s">
        <v>780</v>
      </c>
      <c r="C59" s="612" t="s">
        <v>781</v>
      </c>
      <c r="D59" s="611"/>
      <c r="E59" s="613"/>
      <c r="F59" s="759"/>
      <c r="G59" s="592"/>
      <c r="H59" s="599"/>
      <c r="I59" s="594"/>
      <c r="J59" s="586"/>
    </row>
    <row r="60" spans="2:10" s="596" customFormat="1" ht="21" customHeight="1">
      <c r="B60" s="589" t="s">
        <v>1130</v>
      </c>
      <c r="C60" s="598" t="s">
        <v>1137</v>
      </c>
      <c r="D60" s="589" t="s">
        <v>98</v>
      </c>
      <c r="E60" s="591">
        <v>4.4</v>
      </c>
      <c r="F60" s="790"/>
      <c r="G60" s="592"/>
      <c r="H60" s="592"/>
      <c r="I60" s="594"/>
      <c r="J60" s="594"/>
    </row>
    <row r="61" spans="2:15" s="596" customFormat="1" ht="21" customHeight="1">
      <c r="B61" s="589" t="s">
        <v>807</v>
      </c>
      <c r="C61" s="598" t="s">
        <v>1138</v>
      </c>
      <c r="D61" s="589"/>
      <c r="E61" s="591"/>
      <c r="F61" s="676"/>
      <c r="G61" s="592"/>
      <c r="H61" s="599"/>
      <c r="I61" s="594"/>
      <c r="J61" s="594"/>
      <c r="K61" s="595"/>
      <c r="O61" s="597"/>
    </row>
    <row r="62" spans="2:15" s="596" customFormat="1" ht="21" customHeight="1">
      <c r="B62" s="589" t="s">
        <v>841</v>
      </c>
      <c r="C62" s="598" t="s">
        <v>1046</v>
      </c>
      <c r="D62" s="589" t="s">
        <v>98</v>
      </c>
      <c r="E62" s="512">
        <v>69.3</v>
      </c>
      <c r="F62" s="784"/>
      <c r="G62" s="592"/>
      <c r="H62" s="599"/>
      <c r="I62" s="594"/>
      <c r="J62" s="594"/>
      <c r="K62" s="595"/>
      <c r="O62" s="597"/>
    </row>
    <row r="63" spans="2:15" s="596" customFormat="1" ht="21" customHeight="1">
      <c r="B63" s="589" t="s">
        <v>894</v>
      </c>
      <c r="C63" s="598" t="s">
        <v>895</v>
      </c>
      <c r="D63" s="589" t="s">
        <v>98</v>
      </c>
      <c r="E63" s="512">
        <v>7.04</v>
      </c>
      <c r="F63" s="784"/>
      <c r="G63" s="592"/>
      <c r="H63" s="599"/>
      <c r="I63" s="594"/>
      <c r="J63" s="594"/>
      <c r="K63" s="595"/>
      <c r="O63" s="597"/>
    </row>
    <row r="64" spans="2:15" s="596" customFormat="1" ht="21" customHeight="1">
      <c r="B64" s="589" t="s">
        <v>879</v>
      </c>
      <c r="C64" s="598" t="s">
        <v>1047</v>
      </c>
      <c r="D64" s="589" t="s">
        <v>98</v>
      </c>
      <c r="E64" s="512">
        <v>161.7</v>
      </c>
      <c r="F64" s="784"/>
      <c r="G64" s="592"/>
      <c r="I64" s="594"/>
      <c r="J64" s="594"/>
      <c r="K64" s="595"/>
      <c r="O64" s="597"/>
    </row>
    <row r="65" spans="2:15" s="596" customFormat="1" ht="21" customHeight="1">
      <c r="B65" s="589" t="s">
        <v>1117</v>
      </c>
      <c r="C65" s="598" t="s">
        <v>1139</v>
      </c>
      <c r="D65" s="589" t="s">
        <v>98</v>
      </c>
      <c r="E65" s="512">
        <v>132.48</v>
      </c>
      <c r="F65" s="784"/>
      <c r="G65" s="592"/>
      <c r="H65" s="606"/>
      <c r="I65" s="594"/>
      <c r="J65" s="594"/>
      <c r="K65" s="595"/>
      <c r="O65" s="597"/>
    </row>
    <row r="66" spans="2:15" ht="19.5" customHeight="1">
      <c r="B66" s="601"/>
      <c r="D66" s="601"/>
      <c r="E66" s="128"/>
      <c r="F66" s="757"/>
      <c r="G66" s="592"/>
      <c r="H66" s="142"/>
      <c r="I66" s="594"/>
      <c r="J66" s="603"/>
      <c r="K66" s="571"/>
      <c r="O66" s="604"/>
    </row>
    <row r="67" spans="2:10" s="593" customFormat="1" ht="21.75" customHeight="1">
      <c r="B67" s="611" t="s">
        <v>783</v>
      </c>
      <c r="C67" s="612" t="s">
        <v>1071</v>
      </c>
      <c r="D67" s="611"/>
      <c r="E67" s="613"/>
      <c r="F67" s="759"/>
      <c r="G67" s="592"/>
      <c r="H67" s="599"/>
      <c r="I67" s="594"/>
      <c r="J67" s="586"/>
    </row>
    <row r="68" spans="2:10" s="593" customFormat="1" ht="21" customHeight="1">
      <c r="B68" s="589" t="s">
        <v>1074</v>
      </c>
      <c r="C68" s="598" t="s">
        <v>1075</v>
      </c>
      <c r="D68" s="611"/>
      <c r="E68" s="613"/>
      <c r="F68" s="759"/>
      <c r="G68" s="592"/>
      <c r="H68" s="599"/>
      <c r="I68" s="594"/>
      <c r="J68" s="586"/>
    </row>
    <row r="69" spans="2:10" s="715" customFormat="1" ht="21.75" customHeight="1">
      <c r="B69" s="605" t="s">
        <v>1080</v>
      </c>
      <c r="C69" s="590" t="s">
        <v>1116</v>
      </c>
      <c r="D69" s="605" t="s">
        <v>92</v>
      </c>
      <c r="E69" s="512">
        <v>20</v>
      </c>
      <c r="F69" s="784"/>
      <c r="G69" s="592"/>
      <c r="H69" s="606"/>
      <c r="I69" s="594"/>
      <c r="J69" s="713"/>
    </row>
    <row r="70" spans="2:10" s="593" customFormat="1" ht="21.75" customHeight="1">
      <c r="B70" s="589" t="s">
        <v>896</v>
      </c>
      <c r="C70" s="598" t="s">
        <v>1036</v>
      </c>
      <c r="D70" s="589" t="s">
        <v>98</v>
      </c>
      <c r="E70" s="512">
        <v>5</v>
      </c>
      <c r="F70" s="784"/>
      <c r="G70" s="592"/>
      <c r="H70" s="599"/>
      <c r="I70" s="594"/>
      <c r="J70" s="586"/>
    </row>
    <row r="71" spans="2:10" s="593" customFormat="1" ht="35.25" customHeight="1">
      <c r="B71" s="589" t="s">
        <v>898</v>
      </c>
      <c r="C71" s="711" t="s">
        <v>897</v>
      </c>
      <c r="D71" s="589" t="s">
        <v>164</v>
      </c>
      <c r="E71" s="512">
        <v>34.6</v>
      </c>
      <c r="F71" s="784"/>
      <c r="G71" s="592"/>
      <c r="H71" s="599"/>
      <c r="I71" s="594"/>
      <c r="J71" s="586"/>
    </row>
    <row r="72" spans="2:15" s="596" customFormat="1" ht="25.5" customHeight="1">
      <c r="B72" s="589" t="s">
        <v>1037</v>
      </c>
      <c r="C72" s="598" t="s">
        <v>1038</v>
      </c>
      <c r="D72" s="589" t="s">
        <v>100</v>
      </c>
      <c r="E72" s="512">
        <v>4</v>
      </c>
      <c r="F72" s="788"/>
      <c r="G72" s="592"/>
      <c r="H72" s="599"/>
      <c r="I72" s="594"/>
      <c r="J72" s="594"/>
      <c r="K72" s="595"/>
      <c r="O72" s="597"/>
    </row>
    <row r="73" spans="2:15" s="596" customFormat="1" ht="21" customHeight="1">
      <c r="B73" s="605" t="s">
        <v>827</v>
      </c>
      <c r="C73" s="590" t="s">
        <v>1052</v>
      </c>
      <c r="D73" s="605" t="s">
        <v>100</v>
      </c>
      <c r="E73" s="512">
        <v>8</v>
      </c>
      <c r="F73" s="784"/>
      <c r="G73" s="592"/>
      <c r="H73" s="599"/>
      <c r="I73" s="594"/>
      <c r="J73" s="620"/>
      <c r="K73" s="595"/>
      <c r="O73" s="597"/>
    </row>
    <row r="74" spans="2:15" s="596" customFormat="1" ht="21.75" customHeight="1">
      <c r="B74" s="605" t="s">
        <v>828</v>
      </c>
      <c r="C74" s="590" t="s">
        <v>1053</v>
      </c>
      <c r="D74" s="605" t="s">
        <v>100</v>
      </c>
      <c r="E74" s="512">
        <v>8</v>
      </c>
      <c r="F74" s="784"/>
      <c r="G74" s="592"/>
      <c r="H74" s="599"/>
      <c r="I74" s="594"/>
      <c r="J74" s="594"/>
      <c r="K74" s="595"/>
      <c r="O74" s="597"/>
    </row>
    <row r="75" spans="2:15" s="596" customFormat="1" ht="19.5" customHeight="1">
      <c r="B75" s="589"/>
      <c r="C75" s="598"/>
      <c r="D75" s="589"/>
      <c r="E75" s="591"/>
      <c r="F75" s="676"/>
      <c r="G75" s="592"/>
      <c r="H75" s="599"/>
      <c r="I75" s="594"/>
      <c r="J75" s="594"/>
      <c r="K75" s="595"/>
      <c r="O75" s="597"/>
    </row>
    <row r="76" spans="2:10" s="593" customFormat="1" ht="21.75" customHeight="1">
      <c r="B76" s="611" t="s">
        <v>782</v>
      </c>
      <c r="C76" s="612" t="s">
        <v>1072</v>
      </c>
      <c r="D76" s="570"/>
      <c r="E76" s="621"/>
      <c r="F76" s="761"/>
      <c r="G76" s="592"/>
      <c r="H76" s="599"/>
      <c r="I76" s="594"/>
      <c r="J76" s="622"/>
    </row>
    <row r="77" spans="2:13" s="596" customFormat="1" ht="18.75" customHeight="1">
      <c r="B77" s="800" t="s">
        <v>874</v>
      </c>
      <c r="C77" s="801" t="s">
        <v>1143</v>
      </c>
      <c r="D77" s="800" t="s">
        <v>92</v>
      </c>
      <c r="E77" s="802">
        <v>6246</v>
      </c>
      <c r="F77" s="803"/>
      <c r="G77" s="804"/>
      <c r="H77" s="805"/>
      <c r="I77" s="594"/>
      <c r="J77" s="594"/>
      <c r="M77" s="596">
        <f>0.6*0.6*3.1416</f>
        <v>1.130976</v>
      </c>
    </row>
    <row r="78" spans="2:10" s="596" customFormat="1" ht="21" customHeight="1">
      <c r="B78" s="589" t="s">
        <v>854</v>
      </c>
      <c r="C78" s="598" t="s">
        <v>881</v>
      </c>
      <c r="D78" s="589" t="s">
        <v>167</v>
      </c>
      <c r="E78" s="512">
        <v>6062</v>
      </c>
      <c r="F78" s="784"/>
      <c r="G78" s="592"/>
      <c r="H78" s="599"/>
      <c r="I78" s="594"/>
      <c r="J78" s="594"/>
    </row>
    <row r="79" spans="2:15" s="596" customFormat="1" ht="21" customHeight="1">
      <c r="B79" s="589" t="s">
        <v>805</v>
      </c>
      <c r="C79" s="590" t="s">
        <v>799</v>
      </c>
      <c r="D79" s="589" t="s">
        <v>101</v>
      </c>
      <c r="E79" s="591">
        <v>1</v>
      </c>
      <c r="F79" s="784"/>
      <c r="G79" s="592"/>
      <c r="H79" s="599"/>
      <c r="I79" s="594"/>
      <c r="J79" s="594"/>
      <c r="K79" s="595"/>
      <c r="O79" s="597"/>
    </row>
    <row r="80" spans="2:10" s="583" customFormat="1" ht="18.75" customHeight="1">
      <c r="B80" s="580"/>
      <c r="C80" s="581"/>
      <c r="D80" s="580"/>
      <c r="E80" s="58"/>
      <c r="F80" s="754"/>
      <c r="G80" s="58"/>
      <c r="H80" s="58"/>
      <c r="I80" s="594"/>
      <c r="J80" s="623"/>
    </row>
    <row r="81" spans="2:255" ht="21" customHeight="1">
      <c r="B81" s="584"/>
      <c r="C81" s="602"/>
      <c r="D81" s="601"/>
      <c r="E81" s="128"/>
      <c r="F81" s="762"/>
      <c r="G81" s="142" t="s">
        <v>1045</v>
      </c>
      <c r="H81" s="361">
        <f>SUM(H17:H79)</f>
        <v>0</v>
      </c>
      <c r="I81" s="594"/>
      <c r="J81" s="624"/>
      <c r="K81" s="571"/>
      <c r="L81" s="601"/>
      <c r="M81" s="601"/>
      <c r="N81" s="602"/>
      <c r="O81" s="128"/>
      <c r="P81" s="601"/>
      <c r="Q81" s="602"/>
      <c r="R81" s="601"/>
      <c r="S81" s="601"/>
      <c r="T81" s="602"/>
      <c r="U81" s="601"/>
      <c r="V81" s="601"/>
      <c r="W81" s="602"/>
      <c r="X81" s="601"/>
      <c r="Y81" s="601"/>
      <c r="Z81" s="602"/>
      <c r="AA81" s="601"/>
      <c r="AB81" s="601"/>
      <c r="AC81" s="602"/>
      <c r="AD81" s="601"/>
      <c r="AE81" s="601"/>
      <c r="AF81" s="602"/>
      <c r="AG81" s="601"/>
      <c r="AH81" s="601"/>
      <c r="AI81" s="602"/>
      <c r="AJ81" s="601"/>
      <c r="AK81" s="601"/>
      <c r="AL81" s="602"/>
      <c r="AM81" s="601"/>
      <c r="AN81" s="601"/>
      <c r="AO81" s="602"/>
      <c r="AP81" s="601"/>
      <c r="AQ81" s="601"/>
      <c r="AR81" s="602"/>
      <c r="AS81" s="601"/>
      <c r="AT81" s="601"/>
      <c r="AU81" s="602"/>
      <c r="AV81" s="601"/>
      <c r="AW81" s="601"/>
      <c r="AX81" s="602"/>
      <c r="AY81" s="601"/>
      <c r="AZ81" s="601"/>
      <c r="BA81" s="602"/>
      <c r="BB81" s="601"/>
      <c r="BC81" s="601"/>
      <c r="BD81" s="602"/>
      <c r="BE81" s="601"/>
      <c r="BF81" s="601"/>
      <c r="BG81" s="602"/>
      <c r="BH81" s="601"/>
      <c r="BI81" s="601"/>
      <c r="BJ81" s="602"/>
      <c r="BK81" s="601"/>
      <c r="BL81" s="601"/>
      <c r="BM81" s="602"/>
      <c r="BN81" s="601"/>
      <c r="BO81" s="601"/>
      <c r="BP81" s="602"/>
      <c r="BQ81" s="601"/>
      <c r="BR81" s="601"/>
      <c r="BS81" s="602"/>
      <c r="BT81" s="601"/>
      <c r="BU81" s="601"/>
      <c r="BV81" s="602"/>
      <c r="BW81" s="601"/>
      <c r="BX81" s="601"/>
      <c r="BY81" s="602"/>
      <c r="BZ81" s="601"/>
      <c r="CA81" s="601"/>
      <c r="CB81" s="602"/>
      <c r="CC81" s="601"/>
      <c r="CD81" s="601"/>
      <c r="CE81" s="602"/>
      <c r="CF81" s="601"/>
      <c r="CG81" s="601"/>
      <c r="CH81" s="602"/>
      <c r="CI81" s="601"/>
      <c r="CJ81" s="601"/>
      <c r="CK81" s="602"/>
      <c r="CL81" s="601"/>
      <c r="CM81" s="601"/>
      <c r="CN81" s="602"/>
      <c r="CO81" s="601"/>
      <c r="CP81" s="601"/>
      <c r="CQ81" s="602"/>
      <c r="CR81" s="601"/>
      <c r="CS81" s="601"/>
      <c r="CT81" s="602"/>
      <c r="CU81" s="601"/>
      <c r="CV81" s="601"/>
      <c r="CW81" s="602"/>
      <c r="CX81" s="601"/>
      <c r="CY81" s="601"/>
      <c r="CZ81" s="602"/>
      <c r="DA81" s="601"/>
      <c r="DB81" s="601"/>
      <c r="DC81" s="602"/>
      <c r="DD81" s="601"/>
      <c r="DE81" s="601"/>
      <c r="DF81" s="602"/>
      <c r="DG81" s="601"/>
      <c r="DH81" s="601"/>
      <c r="DI81" s="602"/>
      <c r="DJ81" s="601"/>
      <c r="DK81" s="601"/>
      <c r="DL81" s="602"/>
      <c r="DM81" s="601"/>
      <c r="DN81" s="601"/>
      <c r="DO81" s="602"/>
      <c r="DP81" s="601"/>
      <c r="DQ81" s="601"/>
      <c r="DR81" s="602"/>
      <c r="DS81" s="601"/>
      <c r="DT81" s="601"/>
      <c r="DU81" s="602"/>
      <c r="DV81" s="601"/>
      <c r="DW81" s="601"/>
      <c r="DX81" s="602"/>
      <c r="DY81" s="601"/>
      <c r="DZ81" s="601"/>
      <c r="EA81" s="602"/>
      <c r="EB81" s="601"/>
      <c r="EC81" s="601"/>
      <c r="ED81" s="602"/>
      <c r="EE81" s="601"/>
      <c r="EF81" s="601"/>
      <c r="EG81" s="602"/>
      <c r="EH81" s="601"/>
      <c r="EI81" s="601"/>
      <c r="EJ81" s="602"/>
      <c r="EK81" s="601"/>
      <c r="EL81" s="601"/>
      <c r="EM81" s="602"/>
      <c r="EN81" s="601"/>
      <c r="EO81" s="601"/>
      <c r="EP81" s="602"/>
      <c r="EQ81" s="601"/>
      <c r="ER81" s="601"/>
      <c r="ES81" s="602"/>
      <c r="ET81" s="601"/>
      <c r="EU81" s="601"/>
      <c r="EV81" s="602"/>
      <c r="EW81" s="601"/>
      <c r="EX81" s="601"/>
      <c r="EY81" s="602"/>
      <c r="EZ81" s="601"/>
      <c r="FA81" s="601"/>
      <c r="FB81" s="602"/>
      <c r="FC81" s="601"/>
      <c r="FD81" s="601"/>
      <c r="FE81" s="602"/>
      <c r="FF81" s="601"/>
      <c r="FG81" s="601"/>
      <c r="FH81" s="602"/>
      <c r="FI81" s="601"/>
      <c r="FJ81" s="601"/>
      <c r="FK81" s="602"/>
      <c r="FL81" s="601"/>
      <c r="FM81" s="601"/>
      <c r="FN81" s="602"/>
      <c r="FO81" s="601"/>
      <c r="FP81" s="601"/>
      <c r="FQ81" s="602"/>
      <c r="FR81" s="601"/>
      <c r="FS81" s="601"/>
      <c r="FT81" s="602"/>
      <c r="FU81" s="601"/>
      <c r="FV81" s="601"/>
      <c r="FW81" s="602"/>
      <c r="FX81" s="601"/>
      <c r="FY81" s="601"/>
      <c r="FZ81" s="602"/>
      <c r="GA81" s="601"/>
      <c r="GB81" s="601"/>
      <c r="GC81" s="602"/>
      <c r="GD81" s="601"/>
      <c r="GE81" s="601"/>
      <c r="GF81" s="602"/>
      <c r="GG81" s="601"/>
      <c r="GH81" s="601"/>
      <c r="GI81" s="602"/>
      <c r="GJ81" s="601"/>
      <c r="GK81" s="601"/>
      <c r="GL81" s="602"/>
      <c r="GM81" s="601"/>
      <c r="GN81" s="601"/>
      <c r="GO81" s="602"/>
      <c r="GP81" s="601"/>
      <c r="GQ81" s="601"/>
      <c r="GR81" s="602"/>
      <c r="GS81" s="601"/>
      <c r="GT81" s="601"/>
      <c r="GU81" s="602"/>
      <c r="GV81" s="601"/>
      <c r="GW81" s="601"/>
      <c r="GX81" s="602"/>
      <c r="GY81" s="601"/>
      <c r="GZ81" s="601"/>
      <c r="HA81" s="602"/>
      <c r="HB81" s="601"/>
      <c r="HC81" s="601"/>
      <c r="HD81" s="602"/>
      <c r="HE81" s="601"/>
      <c r="HF81" s="601"/>
      <c r="HG81" s="602"/>
      <c r="HH81" s="601"/>
      <c r="HI81" s="601"/>
      <c r="HJ81" s="602"/>
      <c r="HK81" s="601"/>
      <c r="HL81" s="601"/>
      <c r="HM81" s="602"/>
      <c r="HN81" s="601"/>
      <c r="HO81" s="601"/>
      <c r="HP81" s="602"/>
      <c r="HQ81" s="601"/>
      <c r="HR81" s="601"/>
      <c r="HS81" s="602"/>
      <c r="HT81" s="601"/>
      <c r="HU81" s="601"/>
      <c r="HV81" s="602"/>
      <c r="HW81" s="601"/>
      <c r="HX81" s="601"/>
      <c r="HY81" s="602"/>
      <c r="HZ81" s="601"/>
      <c r="IA81" s="601"/>
      <c r="IB81" s="602"/>
      <c r="IC81" s="601"/>
      <c r="ID81" s="601"/>
      <c r="IE81" s="602"/>
      <c r="IF81" s="601"/>
      <c r="IG81" s="601"/>
      <c r="IH81" s="602"/>
      <c r="II81" s="601"/>
      <c r="IJ81" s="601"/>
      <c r="IK81" s="602"/>
      <c r="IL81" s="601"/>
      <c r="IM81" s="601"/>
      <c r="IN81" s="602"/>
      <c r="IO81" s="601"/>
      <c r="IP81" s="601"/>
      <c r="IQ81" s="602"/>
      <c r="IR81" s="601"/>
      <c r="IS81" s="601"/>
      <c r="IT81" s="602"/>
      <c r="IU81" s="601"/>
    </row>
    <row r="82" spans="2:10" s="583" customFormat="1" ht="18" customHeight="1" thickBot="1">
      <c r="B82" s="580"/>
      <c r="C82" s="581"/>
      <c r="D82" s="580"/>
      <c r="E82" s="58"/>
      <c r="F82" s="754"/>
      <c r="G82" s="58"/>
      <c r="H82" s="58"/>
      <c r="I82" s="594"/>
      <c r="J82" s="623"/>
    </row>
    <row r="83" spans="2:12" ht="18.75" customHeight="1" thickBot="1">
      <c r="B83" s="113"/>
      <c r="D83" s="832" t="s">
        <v>85</v>
      </c>
      <c r="E83" s="833"/>
      <c r="F83" s="763"/>
      <c r="G83" s="625" t="s">
        <v>660</v>
      </c>
      <c r="H83" s="626">
        <f>+H81</f>
        <v>0</v>
      </c>
      <c r="I83" s="627"/>
      <c r="J83" s="628"/>
      <c r="K83" s="571"/>
      <c r="L83" s="571"/>
    </row>
    <row r="84" spans="2:11" ht="18.75" customHeight="1">
      <c r="B84" s="113"/>
      <c r="D84" s="822" t="s">
        <v>814</v>
      </c>
      <c r="E84" s="823"/>
      <c r="F84" s="764"/>
      <c r="G84" s="629">
        <v>0.1</v>
      </c>
      <c r="H84" s="630">
        <f>H83*G84</f>
        <v>0</v>
      </c>
      <c r="I84" s="631"/>
      <c r="J84" s="131"/>
      <c r="K84" s="571"/>
    </row>
    <row r="85" spans="2:11" ht="18.75" customHeight="1">
      <c r="B85" s="113"/>
      <c r="D85" s="822" t="s">
        <v>826</v>
      </c>
      <c r="E85" s="823"/>
      <c r="F85" s="764"/>
      <c r="G85" s="629">
        <v>0.18</v>
      </c>
      <c r="H85" s="630">
        <f>G85*H84</f>
        <v>0</v>
      </c>
      <c r="I85" s="631"/>
      <c r="J85" s="131"/>
      <c r="K85" s="571"/>
    </row>
    <row r="86" spans="2:11" ht="18.75" customHeight="1">
      <c r="B86" s="113"/>
      <c r="D86" s="822" t="s">
        <v>815</v>
      </c>
      <c r="E86" s="823"/>
      <c r="F86" s="764"/>
      <c r="G86" s="629">
        <v>0.035</v>
      </c>
      <c r="H86" s="630">
        <f>H83*G86</f>
        <v>0</v>
      </c>
      <c r="I86" s="631"/>
      <c r="J86" s="131"/>
      <c r="K86" s="571"/>
    </row>
    <row r="87" spans="2:11" ht="18.75" customHeight="1">
      <c r="B87" s="113"/>
      <c r="D87" s="822" t="s">
        <v>816</v>
      </c>
      <c r="E87" s="823"/>
      <c r="F87" s="764"/>
      <c r="G87" s="629">
        <v>0.03</v>
      </c>
      <c r="H87" s="630">
        <f>H83*G87</f>
        <v>0</v>
      </c>
      <c r="I87" s="631"/>
      <c r="J87" s="131"/>
      <c r="K87" s="571"/>
    </row>
    <row r="88" spans="2:11" ht="18.75" customHeight="1">
      <c r="B88" s="113"/>
      <c r="D88" s="828" t="s">
        <v>817</v>
      </c>
      <c r="E88" s="829"/>
      <c r="F88" s="765"/>
      <c r="G88" s="632" t="s">
        <v>101</v>
      </c>
      <c r="H88" s="730"/>
      <c r="I88" s="631"/>
      <c r="J88" s="131"/>
      <c r="K88" s="571"/>
    </row>
    <row r="89" spans="2:12" ht="18.75" customHeight="1">
      <c r="B89" s="113"/>
      <c r="D89" s="828" t="s">
        <v>818</v>
      </c>
      <c r="E89" s="829"/>
      <c r="F89" s="765"/>
      <c r="G89" s="629">
        <v>0.075</v>
      </c>
      <c r="H89" s="729"/>
      <c r="I89" s="631"/>
      <c r="J89" s="131"/>
      <c r="K89" s="571"/>
      <c r="L89" s="633"/>
    </row>
    <row r="90" spans="2:11" s="588" customFormat="1" ht="18.75" customHeight="1">
      <c r="B90" s="113"/>
      <c r="D90" s="828" t="s">
        <v>1078</v>
      </c>
      <c r="E90" s="829"/>
      <c r="F90" s="766"/>
      <c r="G90" s="629">
        <v>0.1</v>
      </c>
      <c r="H90" s="729"/>
      <c r="I90" s="631"/>
      <c r="J90" s="131"/>
      <c r="K90" s="571"/>
    </row>
    <row r="91" spans="2:13" ht="4.5" customHeight="1">
      <c r="B91" s="113"/>
      <c r="D91" s="822" t="s">
        <v>707</v>
      </c>
      <c r="E91" s="823"/>
      <c r="F91" s="764"/>
      <c r="G91" s="634" t="s">
        <v>101</v>
      </c>
      <c r="H91" s="630"/>
      <c r="I91" s="631"/>
      <c r="J91" s="131"/>
      <c r="K91" s="571"/>
      <c r="M91" s="633">
        <f>H83*0.1</f>
        <v>0</v>
      </c>
    </row>
    <row r="92" spans="2:11" ht="18.75" customHeight="1">
      <c r="B92" s="113"/>
      <c r="D92" s="822" t="s">
        <v>820</v>
      </c>
      <c r="E92" s="823"/>
      <c r="F92" s="764"/>
      <c r="G92" s="635">
        <v>0.01</v>
      </c>
      <c r="H92" s="630">
        <f>H83*G92</f>
        <v>0</v>
      </c>
      <c r="I92" s="631"/>
      <c r="J92" s="131"/>
      <c r="K92" s="571"/>
    </row>
    <row r="93" spans="2:13" ht="18.75" customHeight="1">
      <c r="B93" s="113"/>
      <c r="D93" s="822" t="s">
        <v>819</v>
      </c>
      <c r="E93" s="823"/>
      <c r="F93" s="764"/>
      <c r="G93" s="635">
        <v>0.001</v>
      </c>
      <c r="H93" s="630">
        <f>G93*H83</f>
        <v>0</v>
      </c>
      <c r="I93" s="631"/>
      <c r="J93" s="131"/>
      <c r="K93" s="571"/>
      <c r="M93" s="633">
        <f>H83*0.1</f>
        <v>0</v>
      </c>
    </row>
    <row r="94" spans="2:13" ht="18.75" customHeight="1" thickBot="1">
      <c r="B94" s="113"/>
      <c r="D94" s="822" t="s">
        <v>824</v>
      </c>
      <c r="E94" s="823"/>
      <c r="F94" s="764"/>
      <c r="G94" s="636" t="s">
        <v>101</v>
      </c>
      <c r="H94" s="630">
        <f>1.5%*H83</f>
        <v>0</v>
      </c>
      <c r="I94" s="631"/>
      <c r="J94" s="131"/>
      <c r="K94" s="571"/>
      <c r="M94" s="633"/>
    </row>
    <row r="95" spans="2:11" s="596" customFormat="1" ht="17.25" customHeight="1" thickBot="1">
      <c r="B95" s="683"/>
      <c r="D95" s="684"/>
      <c r="E95" s="685" t="s">
        <v>825</v>
      </c>
      <c r="F95" s="767"/>
      <c r="G95" s="686" t="s">
        <v>660</v>
      </c>
      <c r="H95" s="687">
        <f>SUM(H83:H94)</f>
        <v>0</v>
      </c>
      <c r="I95" s="627"/>
      <c r="J95" s="627"/>
      <c r="K95" s="595"/>
    </row>
    <row r="96" spans="2:10" s="583" customFormat="1" ht="15.75" customHeight="1">
      <c r="B96" s="580"/>
      <c r="C96" s="581"/>
      <c r="D96" s="580"/>
      <c r="E96" s="58"/>
      <c r="F96" s="754"/>
      <c r="G96" s="58"/>
      <c r="H96" s="58"/>
      <c r="I96" s="594"/>
      <c r="J96" s="623"/>
    </row>
    <row r="97" spans="3:157" s="122" customFormat="1" ht="18" customHeight="1">
      <c r="C97" s="166" t="s">
        <v>880</v>
      </c>
      <c r="D97" s="514"/>
      <c r="E97" s="123"/>
      <c r="F97" s="768"/>
      <c r="I97" s="509"/>
      <c r="J97" s="130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</row>
    <row r="98" spans="4:157" s="122" customFormat="1" ht="13.5" customHeight="1">
      <c r="D98" s="123"/>
      <c r="E98" s="123"/>
      <c r="F98" s="768"/>
      <c r="I98" s="50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</row>
    <row r="99" spans="2:157" s="122" customFormat="1" ht="15" customHeight="1">
      <c r="B99" s="637" t="s">
        <v>779</v>
      </c>
      <c r="C99" s="638" t="s">
        <v>1082</v>
      </c>
      <c r="D99" s="382"/>
      <c r="E99" s="512"/>
      <c r="F99" s="769"/>
      <c r="G99" s="511"/>
      <c r="H99" s="511"/>
      <c r="I99" s="50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</row>
    <row r="100" spans="2:157" s="122" customFormat="1" ht="15.75" customHeight="1">
      <c r="B100" s="717" t="s">
        <v>868</v>
      </c>
      <c r="C100" s="638" t="s">
        <v>1118</v>
      </c>
      <c r="D100" s="639"/>
      <c r="E100" s="512"/>
      <c r="F100" s="770"/>
      <c r="G100" s="381"/>
      <c r="H100" s="511"/>
      <c r="I100" s="509"/>
      <c r="J100" s="130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</row>
    <row r="101" spans="2:157" s="122" customFormat="1" ht="13.5" customHeight="1">
      <c r="B101" s="510"/>
      <c r="C101" s="640"/>
      <c r="D101" s="641"/>
      <c r="E101" s="641"/>
      <c r="F101" s="771"/>
      <c r="G101" s="640"/>
      <c r="H101" s="640"/>
      <c r="I101" s="50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</row>
    <row r="102" spans="2:157" s="122" customFormat="1" ht="15.75" customHeight="1">
      <c r="B102" s="510" t="s">
        <v>869</v>
      </c>
      <c r="C102" s="642" t="s">
        <v>867</v>
      </c>
      <c r="D102" s="643" t="s">
        <v>164</v>
      </c>
      <c r="E102" s="644">
        <v>1424.26</v>
      </c>
      <c r="F102" s="789"/>
      <c r="G102" s="398"/>
      <c r="H102" s="645"/>
      <c r="I102" s="50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</row>
    <row r="103" spans="2:157" s="122" customFormat="1" ht="15.75" customHeight="1">
      <c r="B103" s="510" t="s">
        <v>870</v>
      </c>
      <c r="C103" s="640" t="s">
        <v>866</v>
      </c>
      <c r="D103" s="643" t="s">
        <v>164</v>
      </c>
      <c r="E103" s="644">
        <f>+E102</f>
        <v>1424.26</v>
      </c>
      <c r="F103" s="789"/>
      <c r="G103" s="398"/>
      <c r="H103" s="562"/>
      <c r="I103" s="50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</row>
    <row r="104" spans="2:157" s="721" customFormat="1" ht="15.75" customHeight="1">
      <c r="B104" s="794" t="s">
        <v>871</v>
      </c>
      <c r="C104" s="795" t="s">
        <v>1142</v>
      </c>
      <c r="D104" s="796" t="s">
        <v>164</v>
      </c>
      <c r="E104" s="797">
        <f>+E103</f>
        <v>1424.26</v>
      </c>
      <c r="F104" s="798"/>
      <c r="G104" s="798"/>
      <c r="H104" s="799"/>
      <c r="I104" s="719"/>
      <c r="J104" s="720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0"/>
      <c r="V104" s="720"/>
      <c r="W104" s="720"/>
      <c r="X104" s="720"/>
      <c r="Y104" s="720"/>
      <c r="Z104" s="720"/>
      <c r="AA104" s="720"/>
      <c r="AB104" s="720"/>
      <c r="AC104" s="720"/>
      <c r="AD104" s="720"/>
      <c r="AE104" s="720"/>
      <c r="AF104" s="720"/>
      <c r="AG104" s="720"/>
      <c r="AH104" s="720"/>
      <c r="AI104" s="720"/>
      <c r="AJ104" s="720"/>
      <c r="AK104" s="720"/>
      <c r="AL104" s="720"/>
      <c r="AM104" s="720"/>
      <c r="AN104" s="720"/>
      <c r="AO104" s="720"/>
      <c r="AP104" s="720"/>
      <c r="AQ104" s="720"/>
      <c r="AR104" s="720"/>
      <c r="AS104" s="720"/>
      <c r="AT104" s="720"/>
      <c r="AU104" s="720"/>
      <c r="AV104" s="720"/>
      <c r="AW104" s="720"/>
      <c r="AX104" s="720"/>
      <c r="AY104" s="720"/>
      <c r="AZ104" s="720"/>
      <c r="BA104" s="720"/>
      <c r="BB104" s="720"/>
      <c r="BC104" s="720"/>
      <c r="BD104" s="720"/>
      <c r="BE104" s="720"/>
      <c r="BF104" s="720"/>
      <c r="BG104" s="720"/>
      <c r="BH104" s="720"/>
      <c r="BI104" s="720"/>
      <c r="BJ104" s="720"/>
      <c r="BK104" s="720"/>
      <c r="BL104" s="720"/>
      <c r="BM104" s="720"/>
      <c r="BN104" s="720"/>
      <c r="BO104" s="720"/>
      <c r="BP104" s="720"/>
      <c r="BQ104" s="720"/>
      <c r="BR104" s="720"/>
      <c r="BS104" s="720"/>
      <c r="BT104" s="720"/>
      <c r="BU104" s="720"/>
      <c r="BV104" s="720"/>
      <c r="BW104" s="720"/>
      <c r="BX104" s="720"/>
      <c r="BY104" s="720"/>
      <c r="BZ104" s="720"/>
      <c r="CA104" s="720"/>
      <c r="CB104" s="720"/>
      <c r="CC104" s="720"/>
      <c r="CD104" s="720"/>
      <c r="CE104" s="720"/>
      <c r="CF104" s="720"/>
      <c r="CG104" s="720"/>
      <c r="CH104" s="720"/>
      <c r="CI104" s="720"/>
      <c r="CJ104" s="720"/>
      <c r="CK104" s="720"/>
      <c r="CL104" s="720"/>
      <c r="CM104" s="720"/>
      <c r="CN104" s="720"/>
      <c r="CO104" s="720"/>
      <c r="CP104" s="720"/>
      <c r="CQ104" s="720"/>
      <c r="CR104" s="720"/>
      <c r="CS104" s="720"/>
      <c r="CT104" s="720"/>
      <c r="CU104" s="720"/>
      <c r="CV104" s="720"/>
      <c r="CW104" s="720"/>
      <c r="CX104" s="720"/>
      <c r="CY104" s="720"/>
      <c r="CZ104" s="720"/>
      <c r="DA104" s="720"/>
      <c r="DB104" s="720"/>
      <c r="DC104" s="720"/>
      <c r="DD104" s="720"/>
      <c r="DE104" s="720"/>
      <c r="DF104" s="720"/>
      <c r="DG104" s="720"/>
      <c r="DH104" s="720"/>
      <c r="DI104" s="720"/>
      <c r="DJ104" s="720"/>
      <c r="DK104" s="720"/>
      <c r="DL104" s="720"/>
      <c r="DM104" s="720"/>
      <c r="DN104" s="720"/>
      <c r="DO104" s="720"/>
      <c r="DP104" s="720"/>
      <c r="DQ104" s="720"/>
      <c r="DR104" s="720"/>
      <c r="DS104" s="720"/>
      <c r="DT104" s="720"/>
      <c r="DU104" s="720"/>
      <c r="DV104" s="720"/>
      <c r="DW104" s="720"/>
      <c r="DX104" s="720"/>
      <c r="DY104" s="720"/>
      <c r="DZ104" s="720"/>
      <c r="EA104" s="720"/>
      <c r="EB104" s="720"/>
      <c r="EC104" s="720"/>
      <c r="ED104" s="720"/>
      <c r="EE104" s="720"/>
      <c r="EF104" s="720"/>
      <c r="EG104" s="720"/>
      <c r="EH104" s="720"/>
      <c r="EI104" s="720"/>
      <c r="EJ104" s="720"/>
      <c r="EK104" s="720"/>
      <c r="EL104" s="720"/>
      <c r="EM104" s="720"/>
      <c r="EN104" s="720"/>
      <c r="EO104" s="720"/>
      <c r="EP104" s="720"/>
      <c r="EQ104" s="720"/>
      <c r="ER104" s="720"/>
      <c r="ES104" s="720"/>
      <c r="ET104" s="720"/>
      <c r="EU104" s="720"/>
      <c r="EV104" s="720"/>
      <c r="EW104" s="720"/>
      <c r="EX104" s="720"/>
      <c r="EY104" s="720"/>
      <c r="EZ104" s="720"/>
      <c r="FA104" s="720"/>
    </row>
    <row r="105" spans="2:157" s="516" customFormat="1" ht="15.75" customHeight="1">
      <c r="B105" s="382" t="s">
        <v>860</v>
      </c>
      <c r="C105" s="647" t="s">
        <v>865</v>
      </c>
      <c r="D105" s="648" t="s">
        <v>167</v>
      </c>
      <c r="E105" s="707">
        <v>22429.32</v>
      </c>
      <c r="F105" s="718"/>
      <c r="G105" s="646"/>
      <c r="H105" s="649"/>
      <c r="I105" s="515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  <c r="DG105" s="357"/>
      <c r="DH105" s="357"/>
      <c r="DI105" s="357"/>
      <c r="DJ105" s="357"/>
      <c r="DK105" s="357"/>
      <c r="DL105" s="357"/>
      <c r="DM105" s="357"/>
      <c r="DN105" s="357"/>
      <c r="DO105" s="357"/>
      <c r="DP105" s="357"/>
      <c r="DQ105" s="357"/>
      <c r="DR105" s="357"/>
      <c r="DS105" s="357"/>
      <c r="DT105" s="357"/>
      <c r="DU105" s="357"/>
      <c r="DV105" s="357"/>
      <c r="DW105" s="357"/>
      <c r="DX105" s="357"/>
      <c r="DY105" s="357"/>
      <c r="DZ105" s="357"/>
      <c r="EA105" s="357"/>
      <c r="EB105" s="357"/>
      <c r="EC105" s="357"/>
      <c r="ED105" s="357"/>
      <c r="EE105" s="357"/>
      <c r="EF105" s="357"/>
      <c r="EG105" s="357"/>
      <c r="EH105" s="357"/>
      <c r="EI105" s="357"/>
      <c r="EJ105" s="357"/>
      <c r="EK105" s="357"/>
      <c r="EL105" s="357"/>
      <c r="EM105" s="357"/>
      <c r="EN105" s="357"/>
      <c r="EO105" s="357"/>
      <c r="EP105" s="357"/>
      <c r="EQ105" s="357"/>
      <c r="ER105" s="357"/>
      <c r="ES105" s="357"/>
      <c r="ET105" s="357"/>
      <c r="EU105" s="357"/>
      <c r="EV105" s="357"/>
      <c r="EW105" s="357"/>
      <c r="EX105" s="357"/>
      <c r="EY105" s="357"/>
      <c r="EZ105" s="357"/>
      <c r="FA105" s="357"/>
    </row>
    <row r="106" spans="2:157" s="727" customFormat="1" ht="21" customHeight="1">
      <c r="B106" s="382"/>
      <c r="C106" s="722"/>
      <c r="D106" s="648"/>
      <c r="E106" s="723"/>
      <c r="F106" s="772"/>
      <c r="G106" s="724"/>
      <c r="H106" s="725"/>
      <c r="I106" s="726"/>
      <c r="J106" s="383"/>
      <c r="K106" s="726"/>
      <c r="L106" s="726"/>
      <c r="M106" s="726"/>
      <c r="N106" s="726"/>
      <c r="O106" s="726"/>
      <c r="P106" s="726"/>
      <c r="Q106" s="726"/>
      <c r="R106" s="726"/>
      <c r="S106" s="726"/>
      <c r="T106" s="726"/>
      <c r="U106" s="726"/>
      <c r="V106" s="726"/>
      <c r="W106" s="726"/>
      <c r="X106" s="726"/>
      <c r="Y106" s="726"/>
      <c r="Z106" s="726"/>
      <c r="AA106" s="726"/>
      <c r="AB106" s="726"/>
      <c r="AC106" s="726"/>
      <c r="AD106" s="726"/>
      <c r="AE106" s="726"/>
      <c r="AF106" s="726"/>
      <c r="AG106" s="726"/>
      <c r="AH106" s="726"/>
      <c r="AI106" s="726"/>
      <c r="AJ106" s="726"/>
      <c r="AK106" s="726"/>
      <c r="AL106" s="726"/>
      <c r="AM106" s="726"/>
      <c r="AN106" s="726"/>
      <c r="AO106" s="726"/>
      <c r="AP106" s="726"/>
      <c r="AQ106" s="726"/>
      <c r="AR106" s="726"/>
      <c r="AS106" s="726"/>
      <c r="AT106" s="726"/>
      <c r="AU106" s="726"/>
      <c r="AV106" s="726"/>
      <c r="AW106" s="726"/>
      <c r="AX106" s="726"/>
      <c r="AY106" s="726"/>
      <c r="AZ106" s="726"/>
      <c r="BA106" s="726"/>
      <c r="BB106" s="726"/>
      <c r="BC106" s="726"/>
      <c r="BD106" s="726"/>
      <c r="BE106" s="726"/>
      <c r="BF106" s="726"/>
      <c r="BG106" s="726"/>
      <c r="BH106" s="726"/>
      <c r="BI106" s="726"/>
      <c r="BJ106" s="726"/>
      <c r="BK106" s="726"/>
      <c r="BL106" s="726"/>
      <c r="BM106" s="726"/>
      <c r="BN106" s="726"/>
      <c r="BO106" s="726"/>
      <c r="BP106" s="726"/>
      <c r="BQ106" s="726"/>
      <c r="BR106" s="726"/>
      <c r="BS106" s="726"/>
      <c r="BT106" s="726"/>
      <c r="BU106" s="726"/>
      <c r="BV106" s="726"/>
      <c r="BW106" s="726"/>
      <c r="BX106" s="726"/>
      <c r="BY106" s="726"/>
      <c r="BZ106" s="726"/>
      <c r="CA106" s="726"/>
      <c r="CB106" s="726"/>
      <c r="CC106" s="726"/>
      <c r="CD106" s="726"/>
      <c r="CE106" s="726"/>
      <c r="CF106" s="726"/>
      <c r="CG106" s="726"/>
      <c r="CH106" s="726"/>
      <c r="CI106" s="726"/>
      <c r="CJ106" s="726"/>
      <c r="CK106" s="726"/>
      <c r="CL106" s="726"/>
      <c r="CM106" s="726"/>
      <c r="CN106" s="726"/>
      <c r="CO106" s="726"/>
      <c r="CP106" s="726"/>
      <c r="CQ106" s="726"/>
      <c r="CR106" s="726"/>
      <c r="CS106" s="726"/>
      <c r="CT106" s="726"/>
      <c r="CU106" s="726"/>
      <c r="CV106" s="726"/>
      <c r="CW106" s="726"/>
      <c r="CX106" s="726"/>
      <c r="CY106" s="726"/>
      <c r="CZ106" s="726"/>
      <c r="DA106" s="726"/>
      <c r="DB106" s="726"/>
      <c r="DC106" s="726"/>
      <c r="DD106" s="726"/>
      <c r="DE106" s="726"/>
      <c r="DF106" s="726"/>
      <c r="DG106" s="726"/>
      <c r="DH106" s="726"/>
      <c r="DI106" s="726"/>
      <c r="DJ106" s="726"/>
      <c r="DK106" s="726"/>
      <c r="DL106" s="726"/>
      <c r="DM106" s="726"/>
      <c r="DN106" s="726"/>
      <c r="DO106" s="726"/>
      <c r="DP106" s="726"/>
      <c r="DQ106" s="726"/>
      <c r="DR106" s="726"/>
      <c r="DS106" s="726"/>
      <c r="DT106" s="726"/>
      <c r="DU106" s="726"/>
      <c r="DV106" s="726"/>
      <c r="DW106" s="726"/>
      <c r="DX106" s="726"/>
      <c r="DY106" s="726"/>
      <c r="DZ106" s="726"/>
      <c r="EA106" s="726"/>
      <c r="EB106" s="726"/>
      <c r="EC106" s="726"/>
      <c r="ED106" s="726"/>
      <c r="EE106" s="726"/>
      <c r="EF106" s="726"/>
      <c r="EG106" s="726"/>
      <c r="EH106" s="726"/>
      <c r="EI106" s="726"/>
      <c r="EJ106" s="726"/>
      <c r="EK106" s="726"/>
      <c r="EL106" s="726"/>
      <c r="EM106" s="726"/>
      <c r="EN106" s="726"/>
      <c r="EO106" s="726"/>
      <c r="EP106" s="726"/>
      <c r="EQ106" s="726"/>
      <c r="ER106" s="726"/>
      <c r="ES106" s="726"/>
      <c r="ET106" s="726"/>
      <c r="EU106" s="726"/>
      <c r="EV106" s="726"/>
      <c r="EW106" s="726"/>
      <c r="EX106" s="726"/>
      <c r="EY106" s="726"/>
      <c r="EZ106" s="726"/>
      <c r="FA106" s="726"/>
    </row>
    <row r="107" spans="2:157" s="122" customFormat="1" ht="16.5" customHeight="1" thickBot="1">
      <c r="B107" s="510"/>
      <c r="C107" s="517"/>
      <c r="D107" s="382"/>
      <c r="E107" s="512"/>
      <c r="F107" s="769"/>
      <c r="G107" s="511"/>
      <c r="H107" s="511"/>
      <c r="I107" s="50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</row>
    <row r="108" spans="2:157" s="436" customFormat="1" ht="19.5" customHeight="1" thickBot="1">
      <c r="B108" s="510"/>
      <c r="C108" s="517"/>
      <c r="D108" s="824" t="s">
        <v>864</v>
      </c>
      <c r="E108" s="825"/>
      <c r="F108" s="773"/>
      <c r="G108" s="531" t="s">
        <v>660</v>
      </c>
      <c r="H108" s="793">
        <f>+H105</f>
        <v>0</v>
      </c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09"/>
      <c r="U108" s="509"/>
      <c r="V108" s="509"/>
      <c r="W108" s="509"/>
      <c r="X108" s="509"/>
      <c r="Y108" s="509"/>
      <c r="Z108" s="509"/>
      <c r="AA108" s="509"/>
      <c r="AB108" s="509"/>
      <c r="AC108" s="509"/>
      <c r="AD108" s="509"/>
      <c r="AE108" s="509"/>
      <c r="AF108" s="509"/>
      <c r="AG108" s="509"/>
      <c r="AH108" s="509"/>
      <c r="AI108" s="509"/>
      <c r="AJ108" s="509"/>
      <c r="AK108" s="509"/>
      <c r="AL108" s="509"/>
      <c r="AM108" s="509"/>
      <c r="AN108" s="509"/>
      <c r="AO108" s="509"/>
      <c r="AP108" s="509"/>
      <c r="AQ108" s="509"/>
      <c r="AR108" s="509"/>
      <c r="AS108" s="509"/>
      <c r="AT108" s="509"/>
      <c r="AU108" s="509"/>
      <c r="AV108" s="509"/>
      <c r="AW108" s="509"/>
      <c r="AX108" s="509"/>
      <c r="AY108" s="509"/>
      <c r="AZ108" s="509"/>
      <c r="BA108" s="509"/>
      <c r="BB108" s="509"/>
      <c r="BC108" s="509"/>
      <c r="BD108" s="509"/>
      <c r="BE108" s="509"/>
      <c r="BF108" s="509"/>
      <c r="BG108" s="509"/>
      <c r="BH108" s="509"/>
      <c r="BI108" s="509"/>
      <c r="BJ108" s="509"/>
      <c r="BK108" s="509"/>
      <c r="BL108" s="509"/>
      <c r="BM108" s="509"/>
      <c r="BN108" s="509"/>
      <c r="BO108" s="509"/>
      <c r="BP108" s="509"/>
      <c r="BQ108" s="509"/>
      <c r="BR108" s="509"/>
      <c r="BS108" s="509"/>
      <c r="BT108" s="509"/>
      <c r="BU108" s="509"/>
      <c r="BV108" s="509"/>
      <c r="BW108" s="509"/>
      <c r="BX108" s="509"/>
      <c r="BY108" s="509"/>
      <c r="BZ108" s="509"/>
      <c r="CA108" s="509"/>
      <c r="CB108" s="509"/>
      <c r="CC108" s="509"/>
      <c r="CD108" s="509"/>
      <c r="CE108" s="509"/>
      <c r="CF108" s="509"/>
      <c r="CG108" s="509"/>
      <c r="CH108" s="509"/>
      <c r="CI108" s="509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09"/>
      <c r="CW108" s="509"/>
      <c r="CX108" s="509"/>
      <c r="CY108" s="509"/>
      <c r="CZ108" s="509"/>
      <c r="DA108" s="509"/>
      <c r="DB108" s="509"/>
      <c r="DC108" s="509"/>
      <c r="DD108" s="509"/>
      <c r="DE108" s="509"/>
      <c r="DF108" s="509"/>
      <c r="DG108" s="509"/>
      <c r="DH108" s="509"/>
      <c r="DI108" s="509"/>
      <c r="DJ108" s="509"/>
      <c r="DK108" s="509"/>
      <c r="DL108" s="509"/>
      <c r="DM108" s="509"/>
      <c r="DN108" s="509"/>
      <c r="DO108" s="509"/>
      <c r="DP108" s="509"/>
      <c r="DQ108" s="509"/>
      <c r="DR108" s="509"/>
      <c r="DS108" s="509"/>
      <c r="DT108" s="509"/>
      <c r="DU108" s="509"/>
      <c r="DV108" s="509"/>
      <c r="DW108" s="509"/>
      <c r="DX108" s="509"/>
      <c r="DY108" s="509"/>
      <c r="DZ108" s="509"/>
      <c r="EA108" s="509"/>
      <c r="EB108" s="509"/>
      <c r="EC108" s="509"/>
      <c r="ED108" s="509"/>
      <c r="EE108" s="509"/>
      <c r="EF108" s="509"/>
      <c r="EG108" s="509"/>
      <c r="EH108" s="509"/>
      <c r="EI108" s="509"/>
      <c r="EJ108" s="509"/>
      <c r="EK108" s="509"/>
      <c r="EL108" s="509"/>
      <c r="EM108" s="509"/>
      <c r="EN108" s="509"/>
      <c r="EO108" s="509"/>
      <c r="EP108" s="509"/>
      <c r="EQ108" s="509"/>
      <c r="ER108" s="509"/>
      <c r="ES108" s="509"/>
      <c r="ET108" s="509"/>
      <c r="EU108" s="509"/>
      <c r="EV108" s="509"/>
      <c r="EW108" s="509"/>
      <c r="EX108" s="509"/>
      <c r="EY108" s="509"/>
      <c r="EZ108" s="509"/>
      <c r="FA108" s="509"/>
    </row>
    <row r="109" spans="2:157" s="122" customFormat="1" ht="16.5" customHeight="1">
      <c r="B109" s="510"/>
      <c r="C109" s="517"/>
      <c r="D109" s="826" t="s">
        <v>814</v>
      </c>
      <c r="E109" s="827"/>
      <c r="F109" s="769"/>
      <c r="G109" s="651">
        <v>0.1</v>
      </c>
      <c r="H109" s="652">
        <f>H108*G109</f>
        <v>0</v>
      </c>
      <c r="I109" s="50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</row>
    <row r="110" spans="2:157" s="122" customFormat="1" ht="16.5" customHeight="1">
      <c r="B110" s="510"/>
      <c r="C110" s="517"/>
      <c r="D110" s="822" t="s">
        <v>863</v>
      </c>
      <c r="E110" s="823"/>
      <c r="F110" s="774"/>
      <c r="G110" s="651">
        <v>0.18</v>
      </c>
      <c r="H110" s="652">
        <f>G110*H109</f>
        <v>0</v>
      </c>
      <c r="I110" s="50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</row>
    <row r="111" spans="2:157" s="122" customFormat="1" ht="16.5" customHeight="1">
      <c r="B111" s="510"/>
      <c r="C111" s="517"/>
      <c r="D111" s="822" t="s">
        <v>1070</v>
      </c>
      <c r="E111" s="823"/>
      <c r="F111" s="769"/>
      <c r="G111" s="651">
        <v>0.035</v>
      </c>
      <c r="H111" s="652">
        <f>+H108*G111</f>
        <v>0</v>
      </c>
      <c r="I111" s="50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</row>
    <row r="112" spans="2:157" s="122" customFormat="1" ht="16.5" customHeight="1">
      <c r="B112" s="510"/>
      <c r="C112" s="517"/>
      <c r="D112" s="822" t="s">
        <v>862</v>
      </c>
      <c r="E112" s="823"/>
      <c r="F112" s="769"/>
      <c r="G112" s="651">
        <v>0.03</v>
      </c>
      <c r="H112" s="652">
        <f>+H108*G112</f>
        <v>0</v>
      </c>
      <c r="I112" s="50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</row>
    <row r="113" spans="2:157" s="122" customFormat="1" ht="14.25" customHeight="1">
      <c r="B113" s="510"/>
      <c r="C113" s="517"/>
      <c r="D113" s="822" t="s">
        <v>820</v>
      </c>
      <c r="E113" s="823"/>
      <c r="F113" s="769"/>
      <c r="G113" s="653">
        <v>0.01</v>
      </c>
      <c r="H113" s="652">
        <f>+H108*G113</f>
        <v>0</v>
      </c>
      <c r="I113" s="50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</row>
    <row r="114" spans="2:157" s="122" customFormat="1" ht="21" customHeight="1">
      <c r="B114" s="510"/>
      <c r="C114" s="517"/>
      <c r="D114" s="822" t="s">
        <v>1081</v>
      </c>
      <c r="E114" s="823"/>
      <c r="F114" s="769"/>
      <c r="G114" s="651">
        <v>0.18</v>
      </c>
      <c r="H114" s="652">
        <f>G114*G102</f>
        <v>0</v>
      </c>
      <c r="I114" s="50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</row>
    <row r="115" spans="2:157" s="122" customFormat="1" ht="16.5" customHeight="1">
      <c r="B115" s="510"/>
      <c r="C115" s="517"/>
      <c r="D115" s="822" t="s">
        <v>819</v>
      </c>
      <c r="E115" s="823"/>
      <c r="F115" s="774"/>
      <c r="G115" s="651">
        <v>0.001</v>
      </c>
      <c r="H115" s="652">
        <f>G115*H108</f>
        <v>0</v>
      </c>
      <c r="I115" s="50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</row>
    <row r="116" spans="2:157" s="122" customFormat="1" ht="16.5" customHeight="1" thickBot="1">
      <c r="B116" s="510"/>
      <c r="C116" s="517"/>
      <c r="D116" s="817" t="s">
        <v>1077</v>
      </c>
      <c r="E116" s="818"/>
      <c r="F116" s="769"/>
      <c r="G116" s="651">
        <v>0.1</v>
      </c>
      <c r="H116" s="652">
        <f>+H108*G116</f>
        <v>0</v>
      </c>
      <c r="I116" s="50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</row>
    <row r="117" spans="2:157" s="436" customFormat="1" ht="18" customHeight="1" thickBot="1">
      <c r="B117" s="510"/>
      <c r="C117" s="517"/>
      <c r="D117" s="819" t="s">
        <v>861</v>
      </c>
      <c r="E117" s="820"/>
      <c r="F117" s="775"/>
      <c r="G117" s="650" t="str">
        <f>G108</f>
        <v>RD$</v>
      </c>
      <c r="H117" s="654">
        <f>SUM(H108:H116)</f>
        <v>0</v>
      </c>
      <c r="I117" s="509"/>
      <c r="J117" s="509"/>
      <c r="K117" s="509"/>
      <c r="L117" s="509"/>
      <c r="M117" s="509"/>
      <c r="N117" s="509"/>
      <c r="O117" s="509"/>
      <c r="P117" s="509"/>
      <c r="Q117" s="509"/>
      <c r="R117" s="509"/>
      <c r="S117" s="509"/>
      <c r="T117" s="509"/>
      <c r="U117" s="509"/>
      <c r="V117" s="509"/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509"/>
      <c r="AK117" s="509"/>
      <c r="AL117" s="509"/>
      <c r="AM117" s="509"/>
      <c r="AN117" s="509"/>
      <c r="AO117" s="509"/>
      <c r="AP117" s="509"/>
      <c r="AQ117" s="509"/>
      <c r="AR117" s="509"/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  <c r="BC117" s="509"/>
      <c r="BD117" s="509"/>
      <c r="BE117" s="509"/>
      <c r="BF117" s="509"/>
      <c r="BG117" s="509"/>
      <c r="BH117" s="509"/>
      <c r="BI117" s="509"/>
      <c r="BJ117" s="509"/>
      <c r="BK117" s="509"/>
      <c r="BL117" s="509"/>
      <c r="BM117" s="509"/>
      <c r="BN117" s="509"/>
      <c r="BO117" s="509"/>
      <c r="BP117" s="509"/>
      <c r="BQ117" s="509"/>
      <c r="BR117" s="509"/>
      <c r="BS117" s="509"/>
      <c r="BT117" s="509"/>
      <c r="BU117" s="509"/>
      <c r="BV117" s="509"/>
      <c r="BW117" s="509"/>
      <c r="BX117" s="509"/>
      <c r="BY117" s="509"/>
      <c r="BZ117" s="509"/>
      <c r="CA117" s="509"/>
      <c r="CB117" s="509"/>
      <c r="CC117" s="509"/>
      <c r="CD117" s="509"/>
      <c r="CE117" s="509"/>
      <c r="CF117" s="509"/>
      <c r="CG117" s="509"/>
      <c r="CH117" s="509"/>
      <c r="CI117" s="509"/>
      <c r="CJ117" s="509"/>
      <c r="CK117" s="509"/>
      <c r="CL117" s="509"/>
      <c r="CM117" s="509"/>
      <c r="CN117" s="509"/>
      <c r="CO117" s="509"/>
      <c r="CP117" s="509"/>
      <c r="CQ117" s="509"/>
      <c r="CR117" s="509"/>
      <c r="CS117" s="509"/>
      <c r="CT117" s="509"/>
      <c r="CU117" s="509"/>
      <c r="CV117" s="509"/>
      <c r="CW117" s="509"/>
      <c r="CX117" s="509"/>
      <c r="CY117" s="509"/>
      <c r="CZ117" s="509"/>
      <c r="DA117" s="509"/>
      <c r="DB117" s="509"/>
      <c r="DC117" s="509"/>
      <c r="DD117" s="509"/>
      <c r="DE117" s="509"/>
      <c r="DF117" s="509"/>
      <c r="DG117" s="509"/>
      <c r="DH117" s="509"/>
      <c r="DI117" s="509"/>
      <c r="DJ117" s="509"/>
      <c r="DK117" s="509"/>
      <c r="DL117" s="509"/>
      <c r="DM117" s="509"/>
      <c r="DN117" s="509"/>
      <c r="DO117" s="509"/>
      <c r="DP117" s="509"/>
      <c r="DQ117" s="509"/>
      <c r="DR117" s="509"/>
      <c r="DS117" s="509"/>
      <c r="DT117" s="509"/>
      <c r="DU117" s="509"/>
      <c r="DV117" s="509"/>
      <c r="DW117" s="509"/>
      <c r="DX117" s="509"/>
      <c r="DY117" s="509"/>
      <c r="DZ117" s="509"/>
      <c r="EA117" s="509"/>
      <c r="EB117" s="509"/>
      <c r="EC117" s="509"/>
      <c r="ED117" s="509"/>
      <c r="EE117" s="509"/>
      <c r="EF117" s="509"/>
      <c r="EG117" s="509"/>
      <c r="EH117" s="509"/>
      <c r="EI117" s="509"/>
      <c r="EJ117" s="509"/>
      <c r="EK117" s="509"/>
      <c r="EL117" s="509"/>
      <c r="EM117" s="509"/>
      <c r="EN117" s="509"/>
      <c r="EO117" s="509"/>
      <c r="EP117" s="509"/>
      <c r="EQ117" s="509"/>
      <c r="ER117" s="509"/>
      <c r="ES117" s="509"/>
      <c r="ET117" s="509"/>
      <c r="EU117" s="509"/>
      <c r="EV117" s="509"/>
      <c r="EW117" s="509"/>
      <c r="EX117" s="509"/>
      <c r="EY117" s="509"/>
      <c r="EZ117" s="509"/>
      <c r="FA117" s="509"/>
    </row>
    <row r="118" spans="2:10" s="583" customFormat="1" ht="15" customHeight="1">
      <c r="B118" s="580"/>
      <c r="C118" s="581"/>
      <c r="D118" s="580"/>
      <c r="E118" s="58"/>
      <c r="F118" s="754"/>
      <c r="G118" s="58"/>
      <c r="H118" s="58"/>
      <c r="I118" s="594"/>
      <c r="J118" s="623"/>
    </row>
    <row r="119" spans="2:10" s="583" customFormat="1" ht="18.75" customHeight="1" thickBot="1">
      <c r="B119" s="580"/>
      <c r="C119" s="581"/>
      <c r="D119" s="580"/>
      <c r="E119" s="58"/>
      <c r="F119" s="754"/>
      <c r="G119" s="58"/>
      <c r="H119" s="58"/>
      <c r="I119" s="594"/>
      <c r="J119" s="623"/>
    </row>
    <row r="120" spans="2:9" s="519" customFormat="1" ht="18" customHeight="1" thickBot="1">
      <c r="B120" s="655"/>
      <c r="D120" s="532"/>
      <c r="E120" s="533" t="s">
        <v>1076</v>
      </c>
      <c r="F120" s="776"/>
      <c r="G120" s="530" t="s">
        <v>660</v>
      </c>
      <c r="H120" s="534">
        <f>H117+H95</f>
        <v>0</v>
      </c>
      <c r="I120" s="518"/>
    </row>
    <row r="121" spans="4:9" s="519" customFormat="1" ht="14.25" customHeight="1">
      <c r="D121" s="520"/>
      <c r="E121" s="521"/>
      <c r="F121" s="777"/>
      <c r="H121" s="522"/>
      <c r="I121" s="518"/>
    </row>
    <row r="122" spans="4:9" s="519" customFormat="1" ht="14.25" customHeight="1">
      <c r="D122" s="520"/>
      <c r="E122" s="521"/>
      <c r="F122" s="777"/>
      <c r="H122" s="522"/>
      <c r="I122" s="518"/>
    </row>
    <row r="123" spans="4:9" s="519" customFormat="1" ht="14.25" customHeight="1" thickBot="1">
      <c r="D123" s="520"/>
      <c r="E123" s="521"/>
      <c r="F123" s="777"/>
      <c r="H123" s="522"/>
      <c r="I123" s="518"/>
    </row>
    <row r="124" spans="2:9" s="519" customFormat="1" ht="18" customHeight="1" thickBot="1">
      <c r="B124" s="655"/>
      <c r="D124" s="532"/>
      <c r="E124" s="533" t="s">
        <v>1076</v>
      </c>
      <c r="F124" s="776"/>
      <c r="G124" s="530" t="s">
        <v>660</v>
      </c>
      <c r="H124" s="534">
        <f>H120</f>
        <v>0</v>
      </c>
      <c r="I124" s="518"/>
    </row>
    <row r="125" spans="2:9" s="519" customFormat="1" ht="18" customHeight="1">
      <c r="B125" s="655"/>
      <c r="D125" s="743"/>
      <c r="E125" s="744"/>
      <c r="F125" s="778"/>
      <c r="G125" s="745"/>
      <c r="H125" s="746"/>
      <c r="I125" s="518"/>
    </row>
    <row r="126" spans="2:9" s="519" customFormat="1" ht="18" customHeight="1">
      <c r="B126" s="655"/>
      <c r="D126" s="743"/>
      <c r="E126" s="744"/>
      <c r="F126" s="778"/>
      <c r="G126" s="745"/>
      <c r="H126" s="746"/>
      <c r="I126" s="518"/>
    </row>
    <row r="127" spans="3:9" s="519" customFormat="1" ht="14.25" customHeight="1">
      <c r="C127" s="522" t="s">
        <v>855</v>
      </c>
      <c r="D127" s="520"/>
      <c r="E127" s="521"/>
      <c r="F127" s="777"/>
      <c r="G127" s="656" t="s">
        <v>873</v>
      </c>
      <c r="H127" s="656"/>
      <c r="I127" s="518"/>
    </row>
    <row r="128" spans="3:9" s="523" customFormat="1" ht="15.75" customHeight="1">
      <c r="C128" s="523" t="s">
        <v>1119</v>
      </c>
      <c r="D128" s="677"/>
      <c r="E128" s="678"/>
      <c r="F128" s="779"/>
      <c r="G128" s="679"/>
      <c r="H128" s="679"/>
      <c r="I128" s="524"/>
    </row>
    <row r="129" spans="3:9" s="523" customFormat="1" ht="15.75" customHeight="1">
      <c r="C129" s="523" t="s">
        <v>1120</v>
      </c>
      <c r="D129" s="677"/>
      <c r="E129" s="678"/>
      <c r="F129" s="791" t="s">
        <v>1125</v>
      </c>
      <c r="G129" s="523" t="s">
        <v>1131</v>
      </c>
      <c r="H129" s="656"/>
      <c r="I129" s="524"/>
    </row>
    <row r="130" spans="3:9" s="523" customFormat="1" ht="15.75" customHeight="1">
      <c r="C130" s="523" t="s">
        <v>1121</v>
      </c>
      <c r="D130" s="677"/>
      <c r="F130" s="791" t="s">
        <v>1126</v>
      </c>
      <c r="G130" s="523" t="s">
        <v>1132</v>
      </c>
      <c r="H130" s="656"/>
      <c r="I130" s="524"/>
    </row>
    <row r="131" spans="3:9" s="523" customFormat="1" ht="15.75" customHeight="1">
      <c r="C131" s="523" t="s">
        <v>1122</v>
      </c>
      <c r="D131" s="677"/>
      <c r="E131" s="678"/>
      <c r="F131" s="780"/>
      <c r="H131" s="656"/>
      <c r="I131" s="524"/>
    </row>
    <row r="132" spans="3:9" s="523" customFormat="1" ht="15.75" customHeight="1">
      <c r="C132" s="523" t="s">
        <v>1123</v>
      </c>
      <c r="D132" s="677"/>
      <c r="E132" s="678"/>
      <c r="F132" s="779"/>
      <c r="G132" s="656" t="s">
        <v>856</v>
      </c>
      <c r="H132" s="656"/>
      <c r="I132" s="524"/>
    </row>
    <row r="133" spans="3:9" s="523" customFormat="1" ht="12.75">
      <c r="C133" s="523" t="s">
        <v>1124</v>
      </c>
      <c r="D133" s="677"/>
      <c r="E133" s="678"/>
      <c r="F133" s="779"/>
      <c r="G133" s="523" t="s">
        <v>1127</v>
      </c>
      <c r="H133" s="656"/>
      <c r="I133" s="524"/>
    </row>
    <row r="134" spans="4:9" s="523" customFormat="1" ht="12.75">
      <c r="D134" s="677"/>
      <c r="E134" s="678"/>
      <c r="F134" s="779"/>
      <c r="G134" s="792" t="s">
        <v>1134</v>
      </c>
      <c r="H134" s="728"/>
      <c r="I134" s="524"/>
    </row>
    <row r="135" spans="4:9" s="519" customFormat="1" ht="15" customHeight="1">
      <c r="D135" s="677"/>
      <c r="E135" s="678"/>
      <c r="F135" s="779"/>
      <c r="G135" s="779"/>
      <c r="H135" s="656"/>
      <c r="I135" s="518"/>
    </row>
    <row r="136" spans="4:9" s="519" customFormat="1" ht="19.5" customHeight="1">
      <c r="D136" s="677"/>
      <c r="E136" s="678"/>
      <c r="F136" s="779"/>
      <c r="G136" s="728" t="s">
        <v>1135</v>
      </c>
      <c r="H136" s="656"/>
      <c r="I136" s="518"/>
    </row>
    <row r="137" spans="3:9" s="519" customFormat="1" ht="20.25" customHeight="1">
      <c r="C137" s="523"/>
      <c r="D137" s="677"/>
      <c r="E137" s="678"/>
      <c r="F137" s="779"/>
      <c r="G137" s="679"/>
      <c r="H137" s="656"/>
      <c r="I137" s="518"/>
    </row>
    <row r="138" spans="3:9" s="519" customFormat="1" ht="15.75" customHeight="1">
      <c r="C138" s="523"/>
      <c r="D138" s="677"/>
      <c r="E138" s="678"/>
      <c r="F138" s="777"/>
      <c r="H138" s="522"/>
      <c r="I138" s="518"/>
    </row>
    <row r="139" spans="4:9" s="519" customFormat="1" ht="15" customHeight="1">
      <c r="D139" s="520"/>
      <c r="E139" s="521"/>
      <c r="F139" s="777"/>
      <c r="I139" s="518"/>
    </row>
    <row r="140" spans="3:9" s="525" customFormat="1" ht="18.75" customHeight="1">
      <c r="C140" s="657" t="s">
        <v>821</v>
      </c>
      <c r="D140" s="526"/>
      <c r="E140" s="527"/>
      <c r="F140" s="777"/>
      <c r="H140" s="528"/>
      <c r="I140" s="529"/>
    </row>
    <row r="141" spans="2:255" s="516" customFormat="1" ht="32.25" customHeight="1">
      <c r="B141" s="732" t="s">
        <v>822</v>
      </c>
      <c r="C141" s="821" t="s">
        <v>872</v>
      </c>
      <c r="D141" s="821"/>
      <c r="E141" s="821"/>
      <c r="F141" s="821"/>
      <c r="G141" s="821"/>
      <c r="H141" s="821"/>
      <c r="I141" s="605"/>
      <c r="J141" s="609"/>
      <c r="K141" s="609"/>
      <c r="L141" s="610"/>
      <c r="M141" s="609"/>
      <c r="N141" s="616"/>
      <c r="O141" s="733"/>
      <c r="P141" s="665"/>
      <c r="Q141" s="609"/>
      <c r="R141" s="609"/>
      <c r="S141" s="610"/>
      <c r="T141" s="609"/>
      <c r="U141" s="616"/>
      <c r="V141" s="733"/>
      <c r="W141" s="665"/>
      <c r="X141" s="609"/>
      <c r="Y141" s="609"/>
      <c r="Z141" s="610"/>
      <c r="AA141" s="609"/>
      <c r="AB141" s="616"/>
      <c r="AC141" s="733"/>
      <c r="AD141" s="665"/>
      <c r="AE141" s="609"/>
      <c r="AF141" s="609"/>
      <c r="AG141" s="610"/>
      <c r="AH141" s="609"/>
      <c r="AI141" s="616"/>
      <c r="AJ141" s="733"/>
      <c r="AK141" s="665"/>
      <c r="AL141" s="609"/>
      <c r="AM141" s="609"/>
      <c r="AN141" s="610"/>
      <c r="AO141" s="609"/>
      <c r="AP141" s="616"/>
      <c r="AQ141" s="733"/>
      <c r="AR141" s="665"/>
      <c r="AS141" s="609"/>
      <c r="AT141" s="609"/>
      <c r="AU141" s="610"/>
      <c r="AV141" s="609"/>
      <c r="AW141" s="616"/>
      <c r="AX141" s="733"/>
      <c r="AY141" s="665"/>
      <c r="AZ141" s="609"/>
      <c r="BA141" s="609"/>
      <c r="BB141" s="610"/>
      <c r="BC141" s="609"/>
      <c r="BD141" s="616"/>
      <c r="BE141" s="733"/>
      <c r="BF141" s="665"/>
      <c r="BG141" s="609"/>
      <c r="BH141" s="609"/>
      <c r="BI141" s="610"/>
      <c r="BJ141" s="609"/>
      <c r="BK141" s="616"/>
      <c r="BL141" s="733"/>
      <c r="BM141" s="665"/>
      <c r="BN141" s="609"/>
      <c r="BO141" s="609"/>
      <c r="BP141" s="610"/>
      <c r="BQ141" s="609"/>
      <c r="BR141" s="616"/>
      <c r="BS141" s="733"/>
      <c r="BT141" s="665"/>
      <c r="BU141" s="609"/>
      <c r="BV141" s="609"/>
      <c r="BW141" s="610"/>
      <c r="BX141" s="609"/>
      <c r="BY141" s="616"/>
      <c r="BZ141" s="733"/>
      <c r="CA141" s="665"/>
      <c r="CB141" s="609"/>
      <c r="CC141" s="609"/>
      <c r="CD141" s="610"/>
      <c r="CE141" s="609"/>
      <c r="CF141" s="616"/>
      <c r="CG141" s="733"/>
      <c r="CH141" s="665"/>
      <c r="CI141" s="609"/>
      <c r="CJ141" s="609"/>
      <c r="CK141" s="610"/>
      <c r="CL141" s="609"/>
      <c r="CM141" s="616"/>
      <c r="CN141" s="733"/>
      <c r="CO141" s="665"/>
      <c r="CP141" s="609"/>
      <c r="CQ141" s="609"/>
      <c r="CR141" s="610"/>
      <c r="CS141" s="609"/>
      <c r="CT141" s="616"/>
      <c r="CU141" s="733"/>
      <c r="CV141" s="665"/>
      <c r="CW141" s="609"/>
      <c r="CX141" s="609"/>
      <c r="CY141" s="610"/>
      <c r="CZ141" s="609"/>
      <c r="DA141" s="616"/>
      <c r="DB141" s="733"/>
      <c r="DC141" s="665"/>
      <c r="DD141" s="609"/>
      <c r="DE141" s="609"/>
      <c r="DF141" s="610"/>
      <c r="DG141" s="609"/>
      <c r="DH141" s="616"/>
      <c r="DI141" s="733"/>
      <c r="DJ141" s="665"/>
      <c r="DK141" s="609"/>
      <c r="DL141" s="609"/>
      <c r="DM141" s="610"/>
      <c r="DN141" s="609"/>
      <c r="DO141" s="616"/>
      <c r="DP141" s="733"/>
      <c r="DQ141" s="665"/>
      <c r="DR141" s="609"/>
      <c r="DS141" s="609"/>
      <c r="DT141" s="610"/>
      <c r="DU141" s="609"/>
      <c r="DV141" s="616"/>
      <c r="DW141" s="733"/>
      <c r="DX141" s="665"/>
      <c r="DY141" s="609"/>
      <c r="DZ141" s="609"/>
      <c r="EA141" s="610"/>
      <c r="EB141" s="609"/>
      <c r="EC141" s="616"/>
      <c r="ED141" s="733"/>
      <c r="EE141" s="665"/>
      <c r="EF141" s="609"/>
      <c r="EG141" s="609"/>
      <c r="EH141" s="610"/>
      <c r="EI141" s="609"/>
      <c r="EJ141" s="616"/>
      <c r="EK141" s="733"/>
      <c r="EL141" s="665"/>
      <c r="EM141" s="609"/>
      <c r="EN141" s="609"/>
      <c r="EO141" s="610"/>
      <c r="EP141" s="609"/>
      <c r="EQ141" s="616"/>
      <c r="ER141" s="733"/>
      <c r="ES141" s="665"/>
      <c r="ET141" s="609"/>
      <c r="EU141" s="609"/>
      <c r="EV141" s="610"/>
      <c r="EW141" s="609"/>
      <c r="EX141" s="616"/>
      <c r="EY141" s="733"/>
      <c r="EZ141" s="665"/>
      <c r="FA141" s="609"/>
      <c r="FB141" s="609"/>
      <c r="FC141" s="610"/>
      <c r="FD141" s="609"/>
      <c r="FE141" s="616"/>
      <c r="FF141" s="733"/>
      <c r="FG141" s="665"/>
      <c r="FH141" s="609"/>
      <c r="FI141" s="609"/>
      <c r="FJ141" s="610"/>
      <c r="FK141" s="609"/>
      <c r="FL141" s="616"/>
      <c r="FM141" s="733"/>
      <c r="FN141" s="665"/>
      <c r="FO141" s="609"/>
      <c r="FP141" s="609"/>
      <c r="FQ141" s="610"/>
      <c r="FR141" s="609"/>
      <c r="FS141" s="616"/>
      <c r="FT141" s="733"/>
      <c r="FU141" s="665"/>
      <c r="FV141" s="609"/>
      <c r="FW141" s="609"/>
      <c r="FX141" s="610"/>
      <c r="FY141" s="609"/>
      <c r="FZ141" s="616"/>
      <c r="GA141" s="733"/>
      <c r="GB141" s="665"/>
      <c r="GC141" s="609"/>
      <c r="GD141" s="609"/>
      <c r="GE141" s="610"/>
      <c r="GF141" s="609"/>
      <c r="GG141" s="616"/>
      <c r="GH141" s="733"/>
      <c r="GI141" s="665"/>
      <c r="GJ141" s="609"/>
      <c r="GK141" s="609"/>
      <c r="GL141" s="610"/>
      <c r="GM141" s="609"/>
      <c r="GN141" s="616"/>
      <c r="GO141" s="733"/>
      <c r="GP141" s="665"/>
      <c r="GQ141" s="609"/>
      <c r="GR141" s="609"/>
      <c r="GS141" s="610"/>
      <c r="GT141" s="609"/>
      <c r="GU141" s="616"/>
      <c r="GV141" s="733"/>
      <c r="GW141" s="665"/>
      <c r="GX141" s="609"/>
      <c r="GY141" s="609"/>
      <c r="GZ141" s="610"/>
      <c r="HA141" s="609"/>
      <c r="HB141" s="616"/>
      <c r="HC141" s="733"/>
      <c r="HD141" s="665"/>
      <c r="HE141" s="609"/>
      <c r="HF141" s="609"/>
      <c r="HG141" s="610"/>
      <c r="HH141" s="609"/>
      <c r="HI141" s="616"/>
      <c r="HJ141" s="733"/>
      <c r="HK141" s="665"/>
      <c r="HL141" s="609"/>
      <c r="HM141" s="609"/>
      <c r="HN141" s="610"/>
      <c r="HO141" s="609"/>
      <c r="HP141" s="616"/>
      <c r="HQ141" s="733"/>
      <c r="HR141" s="665"/>
      <c r="HS141" s="609"/>
      <c r="HT141" s="609"/>
      <c r="HU141" s="610"/>
      <c r="HV141" s="609"/>
      <c r="HW141" s="616"/>
      <c r="HX141" s="733"/>
      <c r="HY141" s="665"/>
      <c r="HZ141" s="609"/>
      <c r="IA141" s="609"/>
      <c r="IB141" s="610"/>
      <c r="IC141" s="609"/>
      <c r="ID141" s="616"/>
      <c r="IE141" s="733"/>
      <c r="IF141" s="665"/>
      <c r="IG141" s="609"/>
      <c r="IH141" s="609"/>
      <c r="II141" s="610"/>
      <c r="IJ141" s="609"/>
      <c r="IK141" s="616"/>
      <c r="IL141" s="733"/>
      <c r="IM141" s="665"/>
      <c r="IN141" s="609"/>
      <c r="IO141" s="609"/>
      <c r="IP141" s="610"/>
      <c r="IQ141" s="609"/>
      <c r="IR141" s="616"/>
      <c r="IS141" s="733"/>
      <c r="IT141" s="665"/>
      <c r="IU141" s="609"/>
    </row>
    <row r="142" spans="2:255" s="727" customFormat="1" ht="21.75" customHeight="1">
      <c r="B142" s="732" t="s">
        <v>776</v>
      </c>
      <c r="C142" s="815" t="s">
        <v>823</v>
      </c>
      <c r="D142" s="815"/>
      <c r="E142" s="815"/>
      <c r="F142" s="815"/>
      <c r="G142" s="815"/>
      <c r="H142" s="815"/>
      <c r="I142" s="605"/>
      <c r="J142" s="605"/>
      <c r="K142" s="605"/>
      <c r="L142" s="590"/>
      <c r="M142" s="605"/>
      <c r="N142" s="607"/>
      <c r="O142" s="734"/>
      <c r="P142" s="735"/>
      <c r="Q142" s="605"/>
      <c r="R142" s="605"/>
      <c r="S142" s="590"/>
      <c r="T142" s="605"/>
      <c r="U142" s="607"/>
      <c r="V142" s="734"/>
      <c r="W142" s="735"/>
      <c r="X142" s="605"/>
      <c r="Y142" s="605"/>
      <c r="Z142" s="590"/>
      <c r="AA142" s="605"/>
      <c r="AB142" s="607"/>
      <c r="AC142" s="734"/>
      <c r="AD142" s="735"/>
      <c r="AE142" s="605"/>
      <c r="AF142" s="605"/>
      <c r="AG142" s="590"/>
      <c r="AH142" s="605"/>
      <c r="AI142" s="607"/>
      <c r="AJ142" s="734"/>
      <c r="AK142" s="735"/>
      <c r="AL142" s="605"/>
      <c r="AM142" s="605"/>
      <c r="AN142" s="590"/>
      <c r="AO142" s="605"/>
      <c r="AP142" s="607"/>
      <c r="AQ142" s="734"/>
      <c r="AR142" s="735"/>
      <c r="AS142" s="605"/>
      <c r="AT142" s="605"/>
      <c r="AU142" s="590"/>
      <c r="AV142" s="605"/>
      <c r="AW142" s="607"/>
      <c r="AX142" s="734"/>
      <c r="AY142" s="735"/>
      <c r="AZ142" s="605"/>
      <c r="BA142" s="605"/>
      <c r="BB142" s="590"/>
      <c r="BC142" s="605"/>
      <c r="BD142" s="607"/>
      <c r="BE142" s="734"/>
      <c r="BF142" s="735"/>
      <c r="BG142" s="605"/>
      <c r="BH142" s="605"/>
      <c r="BI142" s="590"/>
      <c r="BJ142" s="605"/>
      <c r="BK142" s="607"/>
      <c r="BL142" s="734"/>
      <c r="BM142" s="735"/>
      <c r="BN142" s="605"/>
      <c r="BO142" s="605"/>
      <c r="BP142" s="590"/>
      <c r="BQ142" s="605"/>
      <c r="BR142" s="607"/>
      <c r="BS142" s="734"/>
      <c r="BT142" s="735"/>
      <c r="BU142" s="605"/>
      <c r="BV142" s="605"/>
      <c r="BW142" s="590"/>
      <c r="BX142" s="605"/>
      <c r="BY142" s="607"/>
      <c r="BZ142" s="734"/>
      <c r="CA142" s="735"/>
      <c r="CB142" s="605"/>
      <c r="CC142" s="605"/>
      <c r="CD142" s="590"/>
      <c r="CE142" s="605"/>
      <c r="CF142" s="607"/>
      <c r="CG142" s="734"/>
      <c r="CH142" s="735"/>
      <c r="CI142" s="605"/>
      <c r="CJ142" s="605"/>
      <c r="CK142" s="590"/>
      <c r="CL142" s="605"/>
      <c r="CM142" s="607"/>
      <c r="CN142" s="734"/>
      <c r="CO142" s="735"/>
      <c r="CP142" s="605"/>
      <c r="CQ142" s="605"/>
      <c r="CR142" s="590"/>
      <c r="CS142" s="605"/>
      <c r="CT142" s="607"/>
      <c r="CU142" s="734"/>
      <c r="CV142" s="735"/>
      <c r="CW142" s="605"/>
      <c r="CX142" s="605"/>
      <c r="CY142" s="590"/>
      <c r="CZ142" s="605"/>
      <c r="DA142" s="607"/>
      <c r="DB142" s="734"/>
      <c r="DC142" s="735"/>
      <c r="DD142" s="605"/>
      <c r="DE142" s="605"/>
      <c r="DF142" s="590"/>
      <c r="DG142" s="605"/>
      <c r="DH142" s="607"/>
      <c r="DI142" s="734"/>
      <c r="DJ142" s="735"/>
      <c r="DK142" s="605"/>
      <c r="DL142" s="605"/>
      <c r="DM142" s="590"/>
      <c r="DN142" s="605"/>
      <c r="DO142" s="607"/>
      <c r="DP142" s="734"/>
      <c r="DQ142" s="735"/>
      <c r="DR142" s="605"/>
      <c r="DS142" s="605"/>
      <c r="DT142" s="590"/>
      <c r="DU142" s="605"/>
      <c r="DV142" s="607"/>
      <c r="DW142" s="734"/>
      <c r="DX142" s="735"/>
      <c r="DY142" s="605"/>
      <c r="DZ142" s="605"/>
      <c r="EA142" s="590"/>
      <c r="EB142" s="605"/>
      <c r="EC142" s="607"/>
      <c r="ED142" s="734"/>
      <c r="EE142" s="735"/>
      <c r="EF142" s="605"/>
      <c r="EG142" s="605"/>
      <c r="EH142" s="590"/>
      <c r="EI142" s="605"/>
      <c r="EJ142" s="607"/>
      <c r="EK142" s="734"/>
      <c r="EL142" s="735"/>
      <c r="EM142" s="605"/>
      <c r="EN142" s="605"/>
      <c r="EO142" s="590"/>
      <c r="EP142" s="605"/>
      <c r="EQ142" s="607"/>
      <c r="ER142" s="734"/>
      <c r="ES142" s="735"/>
      <c r="ET142" s="605"/>
      <c r="EU142" s="605"/>
      <c r="EV142" s="590"/>
      <c r="EW142" s="605"/>
      <c r="EX142" s="607"/>
      <c r="EY142" s="734"/>
      <c r="EZ142" s="735"/>
      <c r="FA142" s="605"/>
      <c r="FB142" s="605"/>
      <c r="FC142" s="590"/>
      <c r="FD142" s="605"/>
      <c r="FE142" s="607"/>
      <c r="FF142" s="734"/>
      <c r="FG142" s="735"/>
      <c r="FH142" s="605"/>
      <c r="FI142" s="605"/>
      <c r="FJ142" s="590"/>
      <c r="FK142" s="605"/>
      <c r="FL142" s="607"/>
      <c r="FM142" s="734"/>
      <c r="FN142" s="735"/>
      <c r="FO142" s="605"/>
      <c r="FP142" s="605"/>
      <c r="FQ142" s="590"/>
      <c r="FR142" s="605"/>
      <c r="FS142" s="607"/>
      <c r="FT142" s="734"/>
      <c r="FU142" s="735"/>
      <c r="FV142" s="605"/>
      <c r="FW142" s="605"/>
      <c r="FX142" s="590"/>
      <c r="FY142" s="605"/>
      <c r="FZ142" s="607"/>
      <c r="GA142" s="734"/>
      <c r="GB142" s="735"/>
      <c r="GC142" s="605"/>
      <c r="GD142" s="605"/>
      <c r="GE142" s="590"/>
      <c r="GF142" s="605"/>
      <c r="GG142" s="607"/>
      <c r="GH142" s="734"/>
      <c r="GI142" s="735"/>
      <c r="GJ142" s="605"/>
      <c r="GK142" s="605"/>
      <c r="GL142" s="590"/>
      <c r="GM142" s="605"/>
      <c r="GN142" s="607"/>
      <c r="GO142" s="734"/>
      <c r="GP142" s="735"/>
      <c r="GQ142" s="605"/>
      <c r="GR142" s="605"/>
      <c r="GS142" s="590"/>
      <c r="GT142" s="605"/>
      <c r="GU142" s="607"/>
      <c r="GV142" s="734"/>
      <c r="GW142" s="735"/>
      <c r="GX142" s="605"/>
      <c r="GY142" s="605"/>
      <c r="GZ142" s="590"/>
      <c r="HA142" s="605"/>
      <c r="HB142" s="607"/>
      <c r="HC142" s="734"/>
      <c r="HD142" s="735"/>
      <c r="HE142" s="605"/>
      <c r="HF142" s="605"/>
      <c r="HG142" s="590"/>
      <c r="HH142" s="605"/>
      <c r="HI142" s="607"/>
      <c r="HJ142" s="734"/>
      <c r="HK142" s="735"/>
      <c r="HL142" s="605"/>
      <c r="HM142" s="605"/>
      <c r="HN142" s="590"/>
      <c r="HO142" s="605"/>
      <c r="HP142" s="607"/>
      <c r="HQ142" s="734"/>
      <c r="HR142" s="735"/>
      <c r="HS142" s="605"/>
      <c r="HT142" s="605"/>
      <c r="HU142" s="590"/>
      <c r="HV142" s="605"/>
      <c r="HW142" s="607"/>
      <c r="HX142" s="734"/>
      <c r="HY142" s="735"/>
      <c r="HZ142" s="605"/>
      <c r="IA142" s="605"/>
      <c r="IB142" s="590"/>
      <c r="IC142" s="605"/>
      <c r="ID142" s="607"/>
      <c r="IE142" s="734"/>
      <c r="IF142" s="735"/>
      <c r="IG142" s="605"/>
      <c r="IH142" s="605"/>
      <c r="II142" s="590"/>
      <c r="IJ142" s="605"/>
      <c r="IK142" s="607"/>
      <c r="IL142" s="734"/>
      <c r="IM142" s="735"/>
      <c r="IN142" s="605"/>
      <c r="IO142" s="605"/>
      <c r="IP142" s="590"/>
      <c r="IQ142" s="605"/>
      <c r="IR142" s="607"/>
      <c r="IS142" s="734"/>
      <c r="IT142" s="735"/>
      <c r="IU142" s="605"/>
    </row>
    <row r="143" spans="2:255" s="727" customFormat="1" ht="24.75" customHeight="1">
      <c r="B143" s="732" t="s">
        <v>778</v>
      </c>
      <c r="C143" s="815" t="s">
        <v>829</v>
      </c>
      <c r="D143" s="815"/>
      <c r="E143" s="815"/>
      <c r="F143" s="815"/>
      <c r="G143" s="815"/>
      <c r="H143" s="815"/>
      <c r="I143" s="605"/>
      <c r="J143" s="605"/>
      <c r="K143" s="605"/>
      <c r="L143" s="590"/>
      <c r="M143" s="605"/>
      <c r="N143" s="607"/>
      <c r="O143" s="734"/>
      <c r="P143" s="735"/>
      <c r="Q143" s="605"/>
      <c r="R143" s="605"/>
      <c r="S143" s="590"/>
      <c r="T143" s="605"/>
      <c r="U143" s="607"/>
      <c r="V143" s="734"/>
      <c r="W143" s="735"/>
      <c r="X143" s="605"/>
      <c r="Y143" s="605"/>
      <c r="Z143" s="590"/>
      <c r="AA143" s="605"/>
      <c r="AB143" s="607"/>
      <c r="AC143" s="734"/>
      <c r="AD143" s="735"/>
      <c r="AE143" s="605"/>
      <c r="AF143" s="605"/>
      <c r="AG143" s="590"/>
      <c r="AH143" s="605"/>
      <c r="AI143" s="607"/>
      <c r="AJ143" s="734"/>
      <c r="AK143" s="735"/>
      <c r="AL143" s="605"/>
      <c r="AM143" s="605"/>
      <c r="AN143" s="590"/>
      <c r="AO143" s="605"/>
      <c r="AP143" s="607"/>
      <c r="AQ143" s="734"/>
      <c r="AR143" s="735"/>
      <c r="AS143" s="605"/>
      <c r="AT143" s="605"/>
      <c r="AU143" s="590"/>
      <c r="AV143" s="605"/>
      <c r="AW143" s="607"/>
      <c r="AX143" s="734"/>
      <c r="AY143" s="735"/>
      <c r="AZ143" s="605"/>
      <c r="BA143" s="605"/>
      <c r="BB143" s="590"/>
      <c r="BC143" s="605"/>
      <c r="BD143" s="607"/>
      <c r="BE143" s="734"/>
      <c r="BF143" s="735"/>
      <c r="BG143" s="605"/>
      <c r="BH143" s="605"/>
      <c r="BI143" s="590"/>
      <c r="BJ143" s="605"/>
      <c r="BK143" s="607"/>
      <c r="BL143" s="734"/>
      <c r="BM143" s="735"/>
      <c r="BN143" s="605"/>
      <c r="BO143" s="605"/>
      <c r="BP143" s="590"/>
      <c r="BQ143" s="605"/>
      <c r="BR143" s="607"/>
      <c r="BS143" s="734"/>
      <c r="BT143" s="735"/>
      <c r="BU143" s="605"/>
      <c r="BV143" s="605"/>
      <c r="BW143" s="590"/>
      <c r="BX143" s="605"/>
      <c r="BY143" s="607"/>
      <c r="BZ143" s="734"/>
      <c r="CA143" s="735"/>
      <c r="CB143" s="605"/>
      <c r="CC143" s="605"/>
      <c r="CD143" s="590"/>
      <c r="CE143" s="605"/>
      <c r="CF143" s="607"/>
      <c r="CG143" s="734"/>
      <c r="CH143" s="735"/>
      <c r="CI143" s="605"/>
      <c r="CJ143" s="605"/>
      <c r="CK143" s="590"/>
      <c r="CL143" s="605"/>
      <c r="CM143" s="607"/>
      <c r="CN143" s="734"/>
      <c r="CO143" s="735"/>
      <c r="CP143" s="605"/>
      <c r="CQ143" s="605"/>
      <c r="CR143" s="590"/>
      <c r="CS143" s="605"/>
      <c r="CT143" s="607"/>
      <c r="CU143" s="734"/>
      <c r="CV143" s="735"/>
      <c r="CW143" s="605"/>
      <c r="CX143" s="605"/>
      <c r="CY143" s="590"/>
      <c r="CZ143" s="605"/>
      <c r="DA143" s="607"/>
      <c r="DB143" s="734"/>
      <c r="DC143" s="735"/>
      <c r="DD143" s="605"/>
      <c r="DE143" s="605"/>
      <c r="DF143" s="590"/>
      <c r="DG143" s="605"/>
      <c r="DH143" s="607"/>
      <c r="DI143" s="734"/>
      <c r="DJ143" s="735"/>
      <c r="DK143" s="605"/>
      <c r="DL143" s="605"/>
      <c r="DM143" s="590"/>
      <c r="DN143" s="605"/>
      <c r="DO143" s="607"/>
      <c r="DP143" s="734"/>
      <c r="DQ143" s="735"/>
      <c r="DR143" s="605"/>
      <c r="DS143" s="605"/>
      <c r="DT143" s="590"/>
      <c r="DU143" s="605"/>
      <c r="DV143" s="607"/>
      <c r="DW143" s="734"/>
      <c r="DX143" s="735"/>
      <c r="DY143" s="605"/>
      <c r="DZ143" s="605"/>
      <c r="EA143" s="590"/>
      <c r="EB143" s="605"/>
      <c r="EC143" s="607"/>
      <c r="ED143" s="734"/>
      <c r="EE143" s="735"/>
      <c r="EF143" s="605"/>
      <c r="EG143" s="605"/>
      <c r="EH143" s="590"/>
      <c r="EI143" s="605"/>
      <c r="EJ143" s="607"/>
      <c r="EK143" s="734"/>
      <c r="EL143" s="735"/>
      <c r="EM143" s="605"/>
      <c r="EN143" s="605"/>
      <c r="EO143" s="590"/>
      <c r="EP143" s="605"/>
      <c r="EQ143" s="607"/>
      <c r="ER143" s="734"/>
      <c r="ES143" s="735"/>
      <c r="ET143" s="605"/>
      <c r="EU143" s="605"/>
      <c r="EV143" s="590"/>
      <c r="EW143" s="605"/>
      <c r="EX143" s="607"/>
      <c r="EY143" s="734"/>
      <c r="EZ143" s="735"/>
      <c r="FA143" s="605"/>
      <c r="FB143" s="605"/>
      <c r="FC143" s="590"/>
      <c r="FD143" s="605"/>
      <c r="FE143" s="607"/>
      <c r="FF143" s="734"/>
      <c r="FG143" s="735"/>
      <c r="FH143" s="605"/>
      <c r="FI143" s="605"/>
      <c r="FJ143" s="590"/>
      <c r="FK143" s="605"/>
      <c r="FL143" s="607"/>
      <c r="FM143" s="734"/>
      <c r="FN143" s="735"/>
      <c r="FO143" s="605"/>
      <c r="FP143" s="605"/>
      <c r="FQ143" s="590"/>
      <c r="FR143" s="605"/>
      <c r="FS143" s="607"/>
      <c r="FT143" s="734"/>
      <c r="FU143" s="735"/>
      <c r="FV143" s="605"/>
      <c r="FW143" s="605"/>
      <c r="FX143" s="590"/>
      <c r="FY143" s="605"/>
      <c r="FZ143" s="607"/>
      <c r="GA143" s="734"/>
      <c r="GB143" s="735"/>
      <c r="GC143" s="605"/>
      <c r="GD143" s="605"/>
      <c r="GE143" s="590"/>
      <c r="GF143" s="605"/>
      <c r="GG143" s="607"/>
      <c r="GH143" s="734"/>
      <c r="GI143" s="735"/>
      <c r="GJ143" s="605"/>
      <c r="GK143" s="605"/>
      <c r="GL143" s="590"/>
      <c r="GM143" s="605"/>
      <c r="GN143" s="607"/>
      <c r="GO143" s="734"/>
      <c r="GP143" s="735"/>
      <c r="GQ143" s="605"/>
      <c r="GR143" s="605"/>
      <c r="GS143" s="590"/>
      <c r="GT143" s="605"/>
      <c r="GU143" s="607"/>
      <c r="GV143" s="734"/>
      <c r="GW143" s="735"/>
      <c r="GX143" s="605"/>
      <c r="GY143" s="605"/>
      <c r="GZ143" s="590"/>
      <c r="HA143" s="605"/>
      <c r="HB143" s="607"/>
      <c r="HC143" s="734"/>
      <c r="HD143" s="735"/>
      <c r="HE143" s="605"/>
      <c r="HF143" s="605"/>
      <c r="HG143" s="590"/>
      <c r="HH143" s="605"/>
      <c r="HI143" s="607"/>
      <c r="HJ143" s="734"/>
      <c r="HK143" s="735"/>
      <c r="HL143" s="605"/>
      <c r="HM143" s="605"/>
      <c r="HN143" s="590"/>
      <c r="HO143" s="605"/>
      <c r="HP143" s="607"/>
      <c r="HQ143" s="734"/>
      <c r="HR143" s="735"/>
      <c r="HS143" s="605"/>
      <c r="HT143" s="605"/>
      <c r="HU143" s="590"/>
      <c r="HV143" s="605"/>
      <c r="HW143" s="607"/>
      <c r="HX143" s="734"/>
      <c r="HY143" s="735"/>
      <c r="HZ143" s="605"/>
      <c r="IA143" s="605"/>
      <c r="IB143" s="590"/>
      <c r="IC143" s="605"/>
      <c r="ID143" s="607"/>
      <c r="IE143" s="734"/>
      <c r="IF143" s="735"/>
      <c r="IG143" s="605"/>
      <c r="IH143" s="605"/>
      <c r="II143" s="590"/>
      <c r="IJ143" s="605"/>
      <c r="IK143" s="607"/>
      <c r="IL143" s="734"/>
      <c r="IM143" s="735"/>
      <c r="IN143" s="605"/>
      <c r="IO143" s="605"/>
      <c r="IP143" s="590"/>
      <c r="IQ143" s="605"/>
      <c r="IR143" s="607"/>
      <c r="IS143" s="734"/>
      <c r="IT143" s="735"/>
      <c r="IU143" s="605"/>
    </row>
    <row r="144" spans="2:255" s="727" customFormat="1" ht="24" customHeight="1">
      <c r="B144" s="732" t="s">
        <v>779</v>
      </c>
      <c r="C144" s="815" t="s">
        <v>1133</v>
      </c>
      <c r="D144" s="815"/>
      <c r="E144" s="815"/>
      <c r="F144" s="815"/>
      <c r="G144" s="815"/>
      <c r="H144" s="815"/>
      <c r="I144" s="605"/>
      <c r="J144" s="605"/>
      <c r="K144" s="605"/>
      <c r="L144" s="590"/>
      <c r="M144" s="605"/>
      <c r="N144" s="607"/>
      <c r="O144" s="734"/>
      <c r="P144" s="735"/>
      <c r="Q144" s="605"/>
      <c r="R144" s="605"/>
      <c r="S144" s="590"/>
      <c r="T144" s="605"/>
      <c r="U144" s="607"/>
      <c r="V144" s="734"/>
      <c r="W144" s="735"/>
      <c r="X144" s="605"/>
      <c r="Y144" s="605"/>
      <c r="Z144" s="590"/>
      <c r="AA144" s="605"/>
      <c r="AB144" s="607"/>
      <c r="AC144" s="734"/>
      <c r="AD144" s="735"/>
      <c r="AE144" s="605"/>
      <c r="AF144" s="605"/>
      <c r="AG144" s="590"/>
      <c r="AH144" s="605"/>
      <c r="AI144" s="607"/>
      <c r="AJ144" s="734"/>
      <c r="AK144" s="735"/>
      <c r="AL144" s="605"/>
      <c r="AM144" s="605"/>
      <c r="AN144" s="590"/>
      <c r="AO144" s="605"/>
      <c r="AP144" s="607"/>
      <c r="AQ144" s="734"/>
      <c r="AR144" s="735"/>
      <c r="AS144" s="605"/>
      <c r="AT144" s="605"/>
      <c r="AU144" s="590"/>
      <c r="AV144" s="605"/>
      <c r="AW144" s="607"/>
      <c r="AX144" s="734"/>
      <c r="AY144" s="735"/>
      <c r="AZ144" s="605"/>
      <c r="BA144" s="605"/>
      <c r="BB144" s="590"/>
      <c r="BC144" s="605"/>
      <c r="BD144" s="607"/>
      <c r="BE144" s="734"/>
      <c r="BF144" s="735"/>
      <c r="BG144" s="605"/>
      <c r="BH144" s="605"/>
      <c r="BI144" s="590"/>
      <c r="BJ144" s="605"/>
      <c r="BK144" s="607"/>
      <c r="BL144" s="734"/>
      <c r="BM144" s="735"/>
      <c r="BN144" s="605"/>
      <c r="BO144" s="605"/>
      <c r="BP144" s="590"/>
      <c r="BQ144" s="605"/>
      <c r="BR144" s="607"/>
      <c r="BS144" s="734"/>
      <c r="BT144" s="735"/>
      <c r="BU144" s="605"/>
      <c r="BV144" s="605"/>
      <c r="BW144" s="590"/>
      <c r="BX144" s="605"/>
      <c r="BY144" s="607"/>
      <c r="BZ144" s="734"/>
      <c r="CA144" s="735"/>
      <c r="CB144" s="605"/>
      <c r="CC144" s="605"/>
      <c r="CD144" s="590"/>
      <c r="CE144" s="605"/>
      <c r="CF144" s="607"/>
      <c r="CG144" s="734"/>
      <c r="CH144" s="735"/>
      <c r="CI144" s="605"/>
      <c r="CJ144" s="605"/>
      <c r="CK144" s="590"/>
      <c r="CL144" s="605"/>
      <c r="CM144" s="607"/>
      <c r="CN144" s="734"/>
      <c r="CO144" s="735"/>
      <c r="CP144" s="605"/>
      <c r="CQ144" s="605"/>
      <c r="CR144" s="590"/>
      <c r="CS144" s="605"/>
      <c r="CT144" s="607"/>
      <c r="CU144" s="734"/>
      <c r="CV144" s="735"/>
      <c r="CW144" s="605"/>
      <c r="CX144" s="605"/>
      <c r="CY144" s="590"/>
      <c r="CZ144" s="605"/>
      <c r="DA144" s="607"/>
      <c r="DB144" s="734"/>
      <c r="DC144" s="735"/>
      <c r="DD144" s="605"/>
      <c r="DE144" s="605"/>
      <c r="DF144" s="590"/>
      <c r="DG144" s="605"/>
      <c r="DH144" s="607"/>
      <c r="DI144" s="734"/>
      <c r="DJ144" s="735"/>
      <c r="DK144" s="605"/>
      <c r="DL144" s="605"/>
      <c r="DM144" s="590"/>
      <c r="DN144" s="605"/>
      <c r="DO144" s="607"/>
      <c r="DP144" s="734"/>
      <c r="DQ144" s="735"/>
      <c r="DR144" s="605"/>
      <c r="DS144" s="605"/>
      <c r="DT144" s="590"/>
      <c r="DU144" s="605"/>
      <c r="DV144" s="607"/>
      <c r="DW144" s="734"/>
      <c r="DX144" s="735"/>
      <c r="DY144" s="605"/>
      <c r="DZ144" s="605"/>
      <c r="EA144" s="590"/>
      <c r="EB144" s="605"/>
      <c r="EC144" s="607"/>
      <c r="ED144" s="734"/>
      <c r="EE144" s="735"/>
      <c r="EF144" s="605"/>
      <c r="EG144" s="605"/>
      <c r="EH144" s="590"/>
      <c r="EI144" s="605"/>
      <c r="EJ144" s="607"/>
      <c r="EK144" s="734"/>
      <c r="EL144" s="735"/>
      <c r="EM144" s="605"/>
      <c r="EN144" s="605"/>
      <c r="EO144" s="590"/>
      <c r="EP144" s="605"/>
      <c r="EQ144" s="607"/>
      <c r="ER144" s="734"/>
      <c r="ES144" s="735"/>
      <c r="ET144" s="605"/>
      <c r="EU144" s="605"/>
      <c r="EV144" s="590"/>
      <c r="EW144" s="605"/>
      <c r="EX144" s="607"/>
      <c r="EY144" s="734"/>
      <c r="EZ144" s="735"/>
      <c r="FA144" s="605"/>
      <c r="FB144" s="605"/>
      <c r="FC144" s="590"/>
      <c r="FD144" s="605"/>
      <c r="FE144" s="607"/>
      <c r="FF144" s="734"/>
      <c r="FG144" s="735"/>
      <c r="FH144" s="605"/>
      <c r="FI144" s="605"/>
      <c r="FJ144" s="590"/>
      <c r="FK144" s="605"/>
      <c r="FL144" s="607"/>
      <c r="FM144" s="734"/>
      <c r="FN144" s="735"/>
      <c r="FO144" s="605"/>
      <c r="FP144" s="605"/>
      <c r="FQ144" s="590"/>
      <c r="FR144" s="605"/>
      <c r="FS144" s="607"/>
      <c r="FT144" s="734"/>
      <c r="FU144" s="735"/>
      <c r="FV144" s="605"/>
      <c r="FW144" s="605"/>
      <c r="FX144" s="590"/>
      <c r="FY144" s="605"/>
      <c r="FZ144" s="607"/>
      <c r="GA144" s="734"/>
      <c r="GB144" s="735"/>
      <c r="GC144" s="605"/>
      <c r="GD144" s="605"/>
      <c r="GE144" s="590"/>
      <c r="GF144" s="605"/>
      <c r="GG144" s="607"/>
      <c r="GH144" s="734"/>
      <c r="GI144" s="735"/>
      <c r="GJ144" s="605"/>
      <c r="GK144" s="605"/>
      <c r="GL144" s="590"/>
      <c r="GM144" s="605"/>
      <c r="GN144" s="607"/>
      <c r="GO144" s="734"/>
      <c r="GP144" s="735"/>
      <c r="GQ144" s="605"/>
      <c r="GR144" s="605"/>
      <c r="GS144" s="590"/>
      <c r="GT144" s="605"/>
      <c r="GU144" s="607"/>
      <c r="GV144" s="734"/>
      <c r="GW144" s="735"/>
      <c r="GX144" s="605"/>
      <c r="GY144" s="605"/>
      <c r="GZ144" s="590"/>
      <c r="HA144" s="605"/>
      <c r="HB144" s="607"/>
      <c r="HC144" s="734"/>
      <c r="HD144" s="735"/>
      <c r="HE144" s="605"/>
      <c r="HF144" s="605"/>
      <c r="HG144" s="590"/>
      <c r="HH144" s="605"/>
      <c r="HI144" s="607"/>
      <c r="HJ144" s="734"/>
      <c r="HK144" s="735"/>
      <c r="HL144" s="605"/>
      <c r="HM144" s="605"/>
      <c r="HN144" s="590"/>
      <c r="HO144" s="605"/>
      <c r="HP144" s="607"/>
      <c r="HQ144" s="734"/>
      <c r="HR144" s="735"/>
      <c r="HS144" s="605"/>
      <c r="HT144" s="605"/>
      <c r="HU144" s="590"/>
      <c r="HV144" s="605"/>
      <c r="HW144" s="607"/>
      <c r="HX144" s="734"/>
      <c r="HY144" s="735"/>
      <c r="HZ144" s="605"/>
      <c r="IA144" s="605"/>
      <c r="IB144" s="590"/>
      <c r="IC144" s="605"/>
      <c r="ID144" s="607"/>
      <c r="IE144" s="734"/>
      <c r="IF144" s="735"/>
      <c r="IG144" s="605"/>
      <c r="IH144" s="605"/>
      <c r="II144" s="590"/>
      <c r="IJ144" s="605"/>
      <c r="IK144" s="607"/>
      <c r="IL144" s="734"/>
      <c r="IM144" s="735"/>
      <c r="IN144" s="605"/>
      <c r="IO144" s="605"/>
      <c r="IP144" s="590"/>
      <c r="IQ144" s="605"/>
      <c r="IR144" s="607"/>
      <c r="IS144" s="734"/>
      <c r="IT144" s="735"/>
      <c r="IU144" s="605"/>
    </row>
    <row r="145" spans="2:255" s="162" customFormat="1" ht="37.5" customHeight="1">
      <c r="B145" s="732" t="s">
        <v>780</v>
      </c>
      <c r="C145" s="815" t="s">
        <v>1049</v>
      </c>
      <c r="D145" s="815"/>
      <c r="E145" s="815"/>
      <c r="F145" s="815"/>
      <c r="G145" s="815"/>
      <c r="H145" s="815"/>
      <c r="I145" s="708"/>
      <c r="J145" s="708"/>
      <c r="K145" s="708"/>
      <c r="L145" s="712"/>
      <c r="M145" s="708"/>
      <c r="N145" s="713"/>
      <c r="O145" s="736"/>
      <c r="P145" s="737"/>
      <c r="Q145" s="708"/>
      <c r="R145" s="708"/>
      <c r="S145" s="712"/>
      <c r="T145" s="708"/>
      <c r="U145" s="713"/>
      <c r="V145" s="736"/>
      <c r="W145" s="737"/>
      <c r="X145" s="708"/>
      <c r="Y145" s="708"/>
      <c r="Z145" s="712"/>
      <c r="AA145" s="708"/>
      <c r="AB145" s="713"/>
      <c r="AC145" s="736"/>
      <c r="AD145" s="737"/>
      <c r="AE145" s="708"/>
      <c r="AF145" s="708"/>
      <c r="AG145" s="712"/>
      <c r="AH145" s="708"/>
      <c r="AI145" s="713"/>
      <c r="AJ145" s="736"/>
      <c r="AK145" s="737"/>
      <c r="AL145" s="708"/>
      <c r="AM145" s="708"/>
      <c r="AN145" s="712"/>
      <c r="AO145" s="708"/>
      <c r="AP145" s="713"/>
      <c r="AQ145" s="736"/>
      <c r="AR145" s="737"/>
      <c r="AS145" s="708"/>
      <c r="AT145" s="708"/>
      <c r="AU145" s="712"/>
      <c r="AV145" s="708"/>
      <c r="AW145" s="713"/>
      <c r="AX145" s="736"/>
      <c r="AY145" s="737"/>
      <c r="AZ145" s="708"/>
      <c r="BA145" s="708"/>
      <c r="BB145" s="712"/>
      <c r="BC145" s="708"/>
      <c r="BD145" s="713"/>
      <c r="BE145" s="736"/>
      <c r="BF145" s="737"/>
      <c r="BG145" s="708"/>
      <c r="BH145" s="708"/>
      <c r="BI145" s="712"/>
      <c r="BJ145" s="708"/>
      <c r="BK145" s="713"/>
      <c r="BL145" s="736"/>
      <c r="BM145" s="737"/>
      <c r="BN145" s="708"/>
      <c r="BO145" s="708"/>
      <c r="BP145" s="712"/>
      <c r="BQ145" s="708"/>
      <c r="BR145" s="713"/>
      <c r="BS145" s="736"/>
      <c r="BT145" s="737"/>
      <c r="BU145" s="708"/>
      <c r="BV145" s="708"/>
      <c r="BW145" s="712"/>
      <c r="BX145" s="708"/>
      <c r="BY145" s="713"/>
      <c r="BZ145" s="736"/>
      <c r="CA145" s="737"/>
      <c r="CB145" s="708"/>
      <c r="CC145" s="708"/>
      <c r="CD145" s="712"/>
      <c r="CE145" s="708"/>
      <c r="CF145" s="713"/>
      <c r="CG145" s="736"/>
      <c r="CH145" s="737"/>
      <c r="CI145" s="708"/>
      <c r="CJ145" s="708"/>
      <c r="CK145" s="712"/>
      <c r="CL145" s="708"/>
      <c r="CM145" s="713"/>
      <c r="CN145" s="736"/>
      <c r="CO145" s="737"/>
      <c r="CP145" s="708"/>
      <c r="CQ145" s="708"/>
      <c r="CR145" s="712"/>
      <c r="CS145" s="708"/>
      <c r="CT145" s="713"/>
      <c r="CU145" s="736"/>
      <c r="CV145" s="737"/>
      <c r="CW145" s="708"/>
      <c r="CX145" s="708"/>
      <c r="CY145" s="712"/>
      <c r="CZ145" s="708"/>
      <c r="DA145" s="713"/>
      <c r="DB145" s="736"/>
      <c r="DC145" s="737"/>
      <c r="DD145" s="708"/>
      <c r="DE145" s="708"/>
      <c r="DF145" s="712"/>
      <c r="DG145" s="708"/>
      <c r="DH145" s="713"/>
      <c r="DI145" s="736"/>
      <c r="DJ145" s="737"/>
      <c r="DK145" s="708"/>
      <c r="DL145" s="708"/>
      <c r="DM145" s="712"/>
      <c r="DN145" s="708"/>
      <c r="DO145" s="713"/>
      <c r="DP145" s="736"/>
      <c r="DQ145" s="737"/>
      <c r="DR145" s="708"/>
      <c r="DS145" s="708"/>
      <c r="DT145" s="712"/>
      <c r="DU145" s="708"/>
      <c r="DV145" s="713"/>
      <c r="DW145" s="736"/>
      <c r="DX145" s="737"/>
      <c r="DY145" s="708"/>
      <c r="DZ145" s="708"/>
      <c r="EA145" s="712"/>
      <c r="EB145" s="708"/>
      <c r="EC145" s="713"/>
      <c r="ED145" s="736"/>
      <c r="EE145" s="737"/>
      <c r="EF145" s="708"/>
      <c r="EG145" s="708"/>
      <c r="EH145" s="712"/>
      <c r="EI145" s="708"/>
      <c r="EJ145" s="713"/>
      <c r="EK145" s="736"/>
      <c r="EL145" s="737"/>
      <c r="EM145" s="708"/>
      <c r="EN145" s="708"/>
      <c r="EO145" s="712"/>
      <c r="EP145" s="708"/>
      <c r="EQ145" s="713"/>
      <c r="ER145" s="736"/>
      <c r="ES145" s="737"/>
      <c r="ET145" s="708"/>
      <c r="EU145" s="708"/>
      <c r="EV145" s="712"/>
      <c r="EW145" s="708"/>
      <c r="EX145" s="713"/>
      <c r="EY145" s="736"/>
      <c r="EZ145" s="737"/>
      <c r="FA145" s="708"/>
      <c r="FB145" s="708"/>
      <c r="FC145" s="712"/>
      <c r="FD145" s="708"/>
      <c r="FE145" s="713"/>
      <c r="FF145" s="736"/>
      <c r="FG145" s="737"/>
      <c r="FH145" s="708"/>
      <c r="FI145" s="708"/>
      <c r="FJ145" s="712"/>
      <c r="FK145" s="708"/>
      <c r="FL145" s="713"/>
      <c r="FM145" s="736"/>
      <c r="FN145" s="737"/>
      <c r="FO145" s="708"/>
      <c r="FP145" s="708"/>
      <c r="FQ145" s="712"/>
      <c r="FR145" s="708"/>
      <c r="FS145" s="713"/>
      <c r="FT145" s="736"/>
      <c r="FU145" s="737"/>
      <c r="FV145" s="708"/>
      <c r="FW145" s="708"/>
      <c r="FX145" s="712"/>
      <c r="FY145" s="708"/>
      <c r="FZ145" s="713"/>
      <c r="GA145" s="736"/>
      <c r="GB145" s="737"/>
      <c r="GC145" s="708"/>
      <c r="GD145" s="708"/>
      <c r="GE145" s="712"/>
      <c r="GF145" s="708"/>
      <c r="GG145" s="713"/>
      <c r="GH145" s="736"/>
      <c r="GI145" s="737"/>
      <c r="GJ145" s="708"/>
      <c r="GK145" s="708"/>
      <c r="GL145" s="712"/>
      <c r="GM145" s="708"/>
      <c r="GN145" s="713"/>
      <c r="GO145" s="736"/>
      <c r="GP145" s="737"/>
      <c r="GQ145" s="708"/>
      <c r="GR145" s="708"/>
      <c r="GS145" s="712"/>
      <c r="GT145" s="708"/>
      <c r="GU145" s="713"/>
      <c r="GV145" s="736"/>
      <c r="GW145" s="737"/>
      <c r="GX145" s="708"/>
      <c r="GY145" s="708"/>
      <c r="GZ145" s="712"/>
      <c r="HA145" s="708"/>
      <c r="HB145" s="713"/>
      <c r="HC145" s="736"/>
      <c r="HD145" s="737"/>
      <c r="HE145" s="708"/>
      <c r="HF145" s="708"/>
      <c r="HG145" s="712"/>
      <c r="HH145" s="708"/>
      <c r="HI145" s="713"/>
      <c r="HJ145" s="736"/>
      <c r="HK145" s="737"/>
      <c r="HL145" s="708"/>
      <c r="HM145" s="708"/>
      <c r="HN145" s="712"/>
      <c r="HO145" s="708"/>
      <c r="HP145" s="713"/>
      <c r="HQ145" s="736"/>
      <c r="HR145" s="737"/>
      <c r="HS145" s="708"/>
      <c r="HT145" s="708"/>
      <c r="HU145" s="712"/>
      <c r="HV145" s="708"/>
      <c r="HW145" s="713"/>
      <c r="HX145" s="736"/>
      <c r="HY145" s="737"/>
      <c r="HZ145" s="708"/>
      <c r="IA145" s="708"/>
      <c r="IB145" s="712"/>
      <c r="IC145" s="708"/>
      <c r="ID145" s="713"/>
      <c r="IE145" s="736"/>
      <c r="IF145" s="737"/>
      <c r="IG145" s="708"/>
      <c r="IH145" s="708"/>
      <c r="II145" s="712"/>
      <c r="IJ145" s="708"/>
      <c r="IK145" s="713"/>
      <c r="IL145" s="736"/>
      <c r="IM145" s="737"/>
      <c r="IN145" s="708"/>
      <c r="IO145" s="708"/>
      <c r="IP145" s="712"/>
      <c r="IQ145" s="708"/>
      <c r="IR145" s="713"/>
      <c r="IS145" s="736"/>
      <c r="IT145" s="737"/>
      <c r="IU145" s="708"/>
    </row>
    <row r="146" spans="2:255" s="727" customFormat="1" ht="31.5" customHeight="1">
      <c r="B146" s="731" t="s">
        <v>783</v>
      </c>
      <c r="C146" s="816" t="s">
        <v>830</v>
      </c>
      <c r="D146" s="816"/>
      <c r="E146" s="816"/>
      <c r="F146" s="816"/>
      <c r="G146" s="816"/>
      <c r="H146" s="816"/>
      <c r="I146" s="605"/>
      <c r="J146" s="605"/>
      <c r="K146" s="605"/>
      <c r="L146" s="590"/>
      <c r="M146" s="605"/>
      <c r="N146" s="607"/>
      <c r="O146" s="734"/>
      <c r="P146" s="735"/>
      <c r="Q146" s="605"/>
      <c r="R146" s="605"/>
      <c r="S146" s="590"/>
      <c r="T146" s="605"/>
      <c r="U146" s="607"/>
      <c r="V146" s="734"/>
      <c r="W146" s="735"/>
      <c r="X146" s="605"/>
      <c r="Y146" s="605"/>
      <c r="Z146" s="590"/>
      <c r="AA146" s="605"/>
      <c r="AB146" s="607"/>
      <c r="AC146" s="734"/>
      <c r="AD146" s="735"/>
      <c r="AE146" s="605"/>
      <c r="AF146" s="605"/>
      <c r="AG146" s="590"/>
      <c r="AH146" s="605"/>
      <c r="AI146" s="607"/>
      <c r="AJ146" s="734"/>
      <c r="AK146" s="735"/>
      <c r="AL146" s="605"/>
      <c r="AM146" s="605"/>
      <c r="AN146" s="590"/>
      <c r="AO146" s="605"/>
      <c r="AP146" s="607"/>
      <c r="AQ146" s="734"/>
      <c r="AR146" s="735"/>
      <c r="AS146" s="605"/>
      <c r="AT146" s="605"/>
      <c r="AU146" s="590"/>
      <c r="AV146" s="605"/>
      <c r="AW146" s="607"/>
      <c r="AX146" s="734"/>
      <c r="AY146" s="735"/>
      <c r="AZ146" s="605"/>
      <c r="BA146" s="605"/>
      <c r="BB146" s="590"/>
      <c r="BC146" s="605"/>
      <c r="BD146" s="607"/>
      <c r="BE146" s="734"/>
      <c r="BF146" s="735"/>
      <c r="BG146" s="605"/>
      <c r="BH146" s="605"/>
      <c r="BI146" s="590"/>
      <c r="BJ146" s="605"/>
      <c r="BK146" s="607"/>
      <c r="BL146" s="734"/>
      <c r="BM146" s="735"/>
      <c r="BN146" s="605"/>
      <c r="BO146" s="605"/>
      <c r="BP146" s="590"/>
      <c r="BQ146" s="605"/>
      <c r="BR146" s="607"/>
      <c r="BS146" s="734"/>
      <c r="BT146" s="735"/>
      <c r="BU146" s="605"/>
      <c r="BV146" s="605"/>
      <c r="BW146" s="590"/>
      <c r="BX146" s="605"/>
      <c r="BY146" s="607"/>
      <c r="BZ146" s="734"/>
      <c r="CA146" s="735"/>
      <c r="CB146" s="605"/>
      <c r="CC146" s="605"/>
      <c r="CD146" s="590"/>
      <c r="CE146" s="605"/>
      <c r="CF146" s="607"/>
      <c r="CG146" s="734"/>
      <c r="CH146" s="735"/>
      <c r="CI146" s="605"/>
      <c r="CJ146" s="605"/>
      <c r="CK146" s="590"/>
      <c r="CL146" s="605"/>
      <c r="CM146" s="607"/>
      <c r="CN146" s="734"/>
      <c r="CO146" s="735"/>
      <c r="CP146" s="605"/>
      <c r="CQ146" s="605"/>
      <c r="CR146" s="590"/>
      <c r="CS146" s="605"/>
      <c r="CT146" s="607"/>
      <c r="CU146" s="734"/>
      <c r="CV146" s="735"/>
      <c r="CW146" s="605"/>
      <c r="CX146" s="605"/>
      <c r="CY146" s="590"/>
      <c r="CZ146" s="605"/>
      <c r="DA146" s="607"/>
      <c r="DB146" s="734"/>
      <c r="DC146" s="735"/>
      <c r="DD146" s="605"/>
      <c r="DE146" s="605"/>
      <c r="DF146" s="590"/>
      <c r="DG146" s="605"/>
      <c r="DH146" s="607"/>
      <c r="DI146" s="734"/>
      <c r="DJ146" s="735"/>
      <c r="DK146" s="605"/>
      <c r="DL146" s="605"/>
      <c r="DM146" s="590"/>
      <c r="DN146" s="605"/>
      <c r="DO146" s="607"/>
      <c r="DP146" s="734"/>
      <c r="DQ146" s="735"/>
      <c r="DR146" s="605"/>
      <c r="DS146" s="605"/>
      <c r="DT146" s="590"/>
      <c r="DU146" s="605"/>
      <c r="DV146" s="607"/>
      <c r="DW146" s="734"/>
      <c r="DX146" s="735"/>
      <c r="DY146" s="605"/>
      <c r="DZ146" s="605"/>
      <c r="EA146" s="590"/>
      <c r="EB146" s="605"/>
      <c r="EC146" s="607"/>
      <c r="ED146" s="734"/>
      <c r="EE146" s="735"/>
      <c r="EF146" s="605"/>
      <c r="EG146" s="605"/>
      <c r="EH146" s="590"/>
      <c r="EI146" s="605"/>
      <c r="EJ146" s="607"/>
      <c r="EK146" s="734"/>
      <c r="EL146" s="735"/>
      <c r="EM146" s="605"/>
      <c r="EN146" s="605"/>
      <c r="EO146" s="590"/>
      <c r="EP146" s="605"/>
      <c r="EQ146" s="607"/>
      <c r="ER146" s="734"/>
      <c r="ES146" s="735"/>
      <c r="ET146" s="605"/>
      <c r="EU146" s="605"/>
      <c r="EV146" s="590"/>
      <c r="EW146" s="605"/>
      <c r="EX146" s="607"/>
      <c r="EY146" s="734"/>
      <c r="EZ146" s="735"/>
      <c r="FA146" s="605"/>
      <c r="FB146" s="605"/>
      <c r="FC146" s="590"/>
      <c r="FD146" s="605"/>
      <c r="FE146" s="607"/>
      <c r="FF146" s="734"/>
      <c r="FG146" s="735"/>
      <c r="FH146" s="605"/>
      <c r="FI146" s="605"/>
      <c r="FJ146" s="590"/>
      <c r="FK146" s="605"/>
      <c r="FL146" s="607"/>
      <c r="FM146" s="734"/>
      <c r="FN146" s="735"/>
      <c r="FO146" s="605"/>
      <c r="FP146" s="605"/>
      <c r="FQ146" s="590"/>
      <c r="FR146" s="605"/>
      <c r="FS146" s="607"/>
      <c r="FT146" s="734"/>
      <c r="FU146" s="735"/>
      <c r="FV146" s="605"/>
      <c r="FW146" s="605"/>
      <c r="FX146" s="590"/>
      <c r="FY146" s="605"/>
      <c r="FZ146" s="607"/>
      <c r="GA146" s="734"/>
      <c r="GB146" s="735"/>
      <c r="GC146" s="605"/>
      <c r="GD146" s="605"/>
      <c r="GE146" s="590"/>
      <c r="GF146" s="605"/>
      <c r="GG146" s="607"/>
      <c r="GH146" s="734"/>
      <c r="GI146" s="735"/>
      <c r="GJ146" s="605"/>
      <c r="GK146" s="605"/>
      <c r="GL146" s="590"/>
      <c r="GM146" s="605"/>
      <c r="GN146" s="607"/>
      <c r="GO146" s="734"/>
      <c r="GP146" s="735"/>
      <c r="GQ146" s="605"/>
      <c r="GR146" s="605"/>
      <c r="GS146" s="590"/>
      <c r="GT146" s="605"/>
      <c r="GU146" s="607"/>
      <c r="GV146" s="734"/>
      <c r="GW146" s="735"/>
      <c r="GX146" s="605"/>
      <c r="GY146" s="605"/>
      <c r="GZ146" s="590"/>
      <c r="HA146" s="605"/>
      <c r="HB146" s="607"/>
      <c r="HC146" s="734"/>
      <c r="HD146" s="735"/>
      <c r="HE146" s="605"/>
      <c r="HF146" s="605"/>
      <c r="HG146" s="590"/>
      <c r="HH146" s="605"/>
      <c r="HI146" s="607"/>
      <c r="HJ146" s="734"/>
      <c r="HK146" s="735"/>
      <c r="HL146" s="605"/>
      <c r="HM146" s="605"/>
      <c r="HN146" s="590"/>
      <c r="HO146" s="605"/>
      <c r="HP146" s="607"/>
      <c r="HQ146" s="734"/>
      <c r="HR146" s="735"/>
      <c r="HS146" s="605"/>
      <c r="HT146" s="605"/>
      <c r="HU146" s="590"/>
      <c r="HV146" s="605"/>
      <c r="HW146" s="607"/>
      <c r="HX146" s="734"/>
      <c r="HY146" s="735"/>
      <c r="HZ146" s="605"/>
      <c r="IA146" s="605"/>
      <c r="IB146" s="590"/>
      <c r="IC146" s="605"/>
      <c r="ID146" s="607"/>
      <c r="IE146" s="734"/>
      <c r="IF146" s="735"/>
      <c r="IG146" s="605"/>
      <c r="IH146" s="605"/>
      <c r="II146" s="590"/>
      <c r="IJ146" s="605"/>
      <c r="IK146" s="607"/>
      <c r="IL146" s="734"/>
      <c r="IM146" s="735"/>
      <c r="IN146" s="605"/>
      <c r="IO146" s="605"/>
      <c r="IP146" s="590"/>
      <c r="IQ146" s="605"/>
      <c r="IR146" s="607"/>
      <c r="IS146" s="734"/>
      <c r="IT146" s="735"/>
      <c r="IU146" s="605"/>
    </row>
    <row r="147" spans="2:9" s="524" customFormat="1" ht="27.75" customHeight="1">
      <c r="B147" s="732" t="s">
        <v>782</v>
      </c>
      <c r="C147" s="815" t="s">
        <v>831</v>
      </c>
      <c r="D147" s="815"/>
      <c r="E147" s="815"/>
      <c r="F147" s="815"/>
      <c r="G147" s="815"/>
      <c r="H147" s="815"/>
      <c r="I147" s="738"/>
    </row>
    <row r="148" spans="2:15" s="741" customFormat="1" ht="21.75" customHeight="1">
      <c r="B148" s="731"/>
      <c r="C148" s="739"/>
      <c r="D148" s="739"/>
      <c r="E148" s="739"/>
      <c r="F148" s="781"/>
      <c r="G148" s="739"/>
      <c r="H148" s="649"/>
      <c r="I148" s="740"/>
      <c r="L148" s="649"/>
      <c r="O148" s="742"/>
    </row>
    <row r="149" spans="2:15" s="662" customFormat="1" ht="18" customHeight="1">
      <c r="B149" s="658"/>
      <c r="C149" s="659"/>
      <c r="D149" s="659"/>
      <c r="E149" s="660"/>
      <c r="F149" s="782"/>
      <c r="G149" s="659"/>
      <c r="H149" s="361"/>
      <c r="I149" s="661"/>
      <c r="L149" s="663"/>
      <c r="O149" s="664"/>
    </row>
  </sheetData>
  <sheetProtection/>
  <mergeCells count="33">
    <mergeCell ref="B2:H2"/>
    <mergeCell ref="B3:H3"/>
    <mergeCell ref="B4:H4"/>
    <mergeCell ref="B9:H9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45:H145"/>
    <mergeCell ref="C146:H146"/>
    <mergeCell ref="C147:H147"/>
    <mergeCell ref="D116:E116"/>
    <mergeCell ref="D117:E117"/>
    <mergeCell ref="C141:H141"/>
    <mergeCell ref="C142:H142"/>
    <mergeCell ref="C143:H143"/>
    <mergeCell ref="C144:H144"/>
  </mergeCells>
  <printOptions horizontalCentered="1"/>
  <pageMargins left="0.2362204724409449" right="0.2362204724409449" top="0.35433070866141736" bottom="0.4724409448818898" header="0" footer="0.15748031496062992"/>
  <pageSetup horizontalDpi="600" verticalDpi="600" orientation="portrait" scale="60" r:id="rId1"/>
  <headerFooter alignWithMargins="0">
    <oddFooter>&amp;LPRESUPUESTO : PRESUPUESTO  PARA LA CONSTRUCCION DE LA CARRETERA SECTOR LA PENDA, PROVINCIA LA VEGA&amp;C
&amp;Rpag. &amp;P de &amp;N</oddFooter>
  </headerFooter>
  <rowBreaks count="1" manualBreakCount="1">
    <brk id="12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SUPIMAR</dc:creator>
  <cp:keywords/>
  <dc:description/>
  <cp:lastModifiedBy>Sally Norellys Then Perez</cp:lastModifiedBy>
  <cp:lastPrinted>2019-03-13T16:11:40Z</cp:lastPrinted>
  <dcterms:created xsi:type="dcterms:W3CDTF">1999-05-28T15:45:38Z</dcterms:created>
  <dcterms:modified xsi:type="dcterms:W3CDTF">2019-03-13T16:32:19Z</dcterms:modified>
  <cp:category/>
  <cp:version/>
  <cp:contentType/>
  <cp:contentStatus/>
</cp:coreProperties>
</file>